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4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LBE 7" sheetId="7" r:id="rId7"/>
    <sheet name="TABLE 8" sheetId="8" r:id="rId8"/>
    <sheet name="Appendix. Table1" sheetId="9" r:id="rId9"/>
    <sheet name="Appendix. Table2" sheetId="10" r:id="rId10"/>
    <sheet name="Appendix.Table3" sheetId="11" r:id="rId11"/>
    <sheet name="Appendix. Table 4" sheetId="12" r:id="rId12"/>
    <sheet name="Appendix. Table5" sheetId="13" r:id="rId13"/>
    <sheet name="Appendix. Table6" sheetId="14" r:id="rId14"/>
    <sheet name="Appendix. Table7" sheetId="15" r:id="rId15"/>
    <sheet name="Appendix.Table8" sheetId="16" r:id="rId16"/>
    <sheet name="Appendix. Table9" sheetId="17" r:id="rId17"/>
  </sheets>
  <externalReferences>
    <externalReference r:id="rId20"/>
    <externalReference r:id="rId21"/>
    <externalReference r:id="rId22"/>
  </externalReferences>
  <definedNames>
    <definedName name="_xlnm.Print_Area" localSheetId="11">'Appendix. Table 4'!$A$1:$AE$53</definedName>
    <definedName name="_xlnm.Print_Area" localSheetId="8">'Appendix. Table1'!$B$2:$AH$94</definedName>
    <definedName name="_xlnm.Print_Area" localSheetId="9">'Appendix. Table2'!$A$1:$P$52</definedName>
    <definedName name="_xlnm.Print_Area" localSheetId="12">'Appendix. Table5'!$A$1:$I$19</definedName>
    <definedName name="_xlnm.Print_Area" localSheetId="13">'Appendix. Table6'!$A$1:$O$27</definedName>
    <definedName name="_xlnm.Print_Area" localSheetId="14">'Appendix. Table7'!$A$1:$H$21</definedName>
    <definedName name="_xlnm.Print_Area" localSheetId="16">'Appendix. Table9'!$A$1:$W$27</definedName>
    <definedName name="_xlnm.Print_Area" localSheetId="10">'Appendix.Table3'!$B$1:$J$48</definedName>
    <definedName name="_xlnm.Print_Area" localSheetId="0">'TABLE 1'!$A$1:$T$35</definedName>
    <definedName name="_xlnm.Print_Area" localSheetId="1">'TABLE 2'!$A$1:$L$76</definedName>
    <definedName name="_xlnm.Print_Area" localSheetId="2">'TABLE 3'!$B$1:$J$53</definedName>
    <definedName name="_xlnm.Print_Area" localSheetId="3">'TABLE 4'!$B$2:$L$48</definedName>
    <definedName name="_xlnm.Print_Area" localSheetId="4">'TABLE 5'!$B$2:$N$78</definedName>
    <definedName name="_xlnm.Print_Area" localSheetId="5">'TABLE 6'!$A$1:$Q$30</definedName>
    <definedName name="_xlnm.Print_Area" localSheetId="7">'TABLE 8'!$A$1:$M$20</definedName>
    <definedName name="_xlnm.Print_Area" localSheetId="6">'TALBE 7'!$A$2:$O$30</definedName>
  </definedNames>
  <calcPr fullCalcOnLoad="1"/>
</workbook>
</file>

<file path=xl/sharedStrings.xml><?xml version="1.0" encoding="utf-8"?>
<sst xmlns="http://schemas.openxmlformats.org/spreadsheetml/2006/main" count="1678" uniqueCount="600">
  <si>
    <t>COUNTRIES</t>
  </si>
  <si>
    <t xml:space="preserve">Imports of selected </t>
  </si>
  <si>
    <t>% of world imports of</t>
  </si>
  <si>
    <t>Total country imports</t>
  </si>
  <si>
    <t>media products</t>
  </si>
  <si>
    <t>selected</t>
  </si>
  <si>
    <t>as % of total country</t>
  </si>
  <si>
    <t>(in millions of US$)</t>
  </si>
  <si>
    <t xml:space="preserve">imports </t>
  </si>
  <si>
    <t>EU(15)</t>
  </si>
  <si>
    <t>Canada</t>
  </si>
  <si>
    <t>Japan</t>
  </si>
  <si>
    <t>Australia</t>
  </si>
  <si>
    <t>Mexico</t>
  </si>
  <si>
    <t>Singapore</t>
  </si>
  <si>
    <t>China</t>
  </si>
  <si>
    <t>Russian Fed</t>
  </si>
  <si>
    <t>Chinese Taipei</t>
  </si>
  <si>
    <t>Poland</t>
  </si>
  <si>
    <t>…</t>
  </si>
  <si>
    <t>New Zealand</t>
  </si>
  <si>
    <t>Malaysia</t>
  </si>
  <si>
    <t>Argentina</t>
  </si>
  <si>
    <t>Israel</t>
  </si>
  <si>
    <t>India</t>
  </si>
  <si>
    <t>Colombia</t>
  </si>
  <si>
    <t>Philippines</t>
  </si>
  <si>
    <t>Chile</t>
  </si>
  <si>
    <t>Turkey</t>
  </si>
  <si>
    <t>Saudi Arabia</t>
  </si>
  <si>
    <t>Hungary</t>
  </si>
  <si>
    <t>Venezuela</t>
  </si>
  <si>
    <t>Indonesia</t>
  </si>
  <si>
    <t>Slovakia</t>
  </si>
  <si>
    <t>Morocco</t>
  </si>
  <si>
    <t>Costa Rica</t>
  </si>
  <si>
    <t>Croatia</t>
  </si>
  <si>
    <t>Algeria</t>
  </si>
  <si>
    <t>Cameroon</t>
  </si>
  <si>
    <t>Other countries</t>
  </si>
  <si>
    <t>TOTAL</t>
  </si>
  <si>
    <t>Source: COMTRADE</t>
  </si>
  <si>
    <t>…data not available</t>
  </si>
  <si>
    <t>Average Annual</t>
  </si>
  <si>
    <t>(in %)</t>
  </si>
  <si>
    <t>1990-1996</t>
  </si>
  <si>
    <t>imports</t>
  </si>
  <si>
    <t>exports</t>
  </si>
  <si>
    <t>reexports</t>
  </si>
  <si>
    <t>Total</t>
  </si>
  <si>
    <t>SITC Rev.3</t>
  </si>
  <si>
    <t>8921</t>
  </si>
  <si>
    <t>United States</t>
  </si>
  <si>
    <t>EU</t>
  </si>
  <si>
    <t xml:space="preserve">     Intra-EU trade</t>
  </si>
  <si>
    <t xml:space="preserve">     Extra-EU trade</t>
  </si>
  <si>
    <r>
      <t xml:space="preserve">883 </t>
    </r>
    <r>
      <rPr>
        <b/>
        <sz val="8"/>
        <rFont val="Arial"/>
        <family val="2"/>
      </rPr>
      <t>Cinematographical film</t>
    </r>
  </si>
  <si>
    <r>
      <t xml:space="preserve">892 </t>
    </r>
    <r>
      <rPr>
        <b/>
        <sz val="8"/>
        <rFont val="Arial"/>
        <family val="2"/>
      </rPr>
      <t>Printed Matter</t>
    </r>
  </si>
  <si>
    <r>
      <t xml:space="preserve">89431 </t>
    </r>
    <r>
      <rPr>
        <b/>
        <sz val="8"/>
        <rFont val="Arial"/>
        <family val="2"/>
      </rPr>
      <t>Video Games</t>
    </r>
  </si>
  <si>
    <r>
      <t xml:space="preserve">898 </t>
    </r>
    <r>
      <rPr>
        <b/>
        <sz val="8"/>
        <rFont val="Arial"/>
        <family val="2"/>
      </rPr>
      <t>Recorded Media</t>
    </r>
  </si>
  <si>
    <t>Countries</t>
  </si>
  <si>
    <t>Korea</t>
  </si>
  <si>
    <t xml:space="preserve">Source: COMTRADE </t>
  </si>
  <si>
    <t>… data not available</t>
  </si>
  <si>
    <t>* import data from 1995</t>
  </si>
  <si>
    <r>
      <t xml:space="preserve">b </t>
    </r>
    <r>
      <rPr>
        <b/>
        <sz val="8"/>
        <rFont val="Arial"/>
        <family val="2"/>
      </rPr>
      <t>Tariff rates not available for paperboard labels of all kinds, whether or not printed (SITC 89281).</t>
    </r>
  </si>
  <si>
    <r>
      <t>c</t>
    </r>
    <r>
      <rPr>
        <b/>
        <sz val="8"/>
        <rFont val="Arial"/>
        <family val="2"/>
      </rPr>
      <t>Intra-NAFTA trade excluded considering that all products will be tariff free January 1, 2003, at the latest.</t>
    </r>
  </si>
  <si>
    <r>
      <t>e</t>
    </r>
    <r>
      <rPr>
        <b/>
        <sz val="8"/>
        <rFont val="Arial"/>
        <family val="2"/>
      </rPr>
      <t>Tariff rates not available</t>
    </r>
  </si>
  <si>
    <r>
      <t>f</t>
    </r>
    <r>
      <rPr>
        <b/>
        <sz val="8"/>
        <rFont val="Arial"/>
        <family val="2"/>
      </rPr>
      <t>Tariff rates not available for the following SITC lines and are therefore not included: 883.</t>
    </r>
  </si>
  <si>
    <r>
      <t>g</t>
    </r>
    <r>
      <rPr>
        <b/>
        <sz val="8"/>
        <rFont val="Arial"/>
        <family val="2"/>
      </rPr>
      <t>Tariff rates not available for the following SITC lines and are therefore not included: 89431.</t>
    </r>
  </si>
  <si>
    <r>
      <t xml:space="preserve">a </t>
    </r>
    <r>
      <rPr>
        <b/>
        <sz val="8"/>
        <rFont val="Arial"/>
        <family val="2"/>
      </rPr>
      <t>excluding paper and paperboard labels of all kinds, whether or not printed(SITC 89281) and magnetic tapes recorded(SITC 8986) if not specified otherwise.</t>
    </r>
  </si>
  <si>
    <r>
      <t>d</t>
    </r>
    <r>
      <rPr>
        <b/>
        <sz val="8"/>
        <rFont val="Arial"/>
        <family val="2"/>
      </rPr>
      <t>ad-valorem tariff estimations not available for specific duties applied to cinematograph film (SITC 883) and therefore excluded from the calculation.</t>
    </r>
  </si>
  <si>
    <r>
      <t>i</t>
    </r>
    <r>
      <rPr>
        <b/>
        <sz val="8"/>
        <rFont val="Arial"/>
        <family val="2"/>
      </rPr>
      <t>Import data not available for the following SITC lines and are therefore not included: 89285.</t>
    </r>
  </si>
  <si>
    <t>Communication</t>
  </si>
  <si>
    <t>Computer &amp;</t>
  </si>
  <si>
    <t>Financial</t>
  </si>
  <si>
    <t>Insurance</t>
  </si>
  <si>
    <t>Other Business</t>
  </si>
  <si>
    <t>Personal/Cultural/</t>
  </si>
  <si>
    <t>Information</t>
  </si>
  <si>
    <t>Services</t>
  </si>
  <si>
    <t>Recreational</t>
  </si>
  <si>
    <t>Developed Countries</t>
  </si>
  <si>
    <t>France</t>
  </si>
  <si>
    <t>Germany</t>
  </si>
  <si>
    <t>Italy</t>
  </si>
  <si>
    <t>Netherlands</t>
  </si>
  <si>
    <t>Spain</t>
  </si>
  <si>
    <t>United kingdom</t>
  </si>
  <si>
    <t xml:space="preserve">Developing and </t>
  </si>
  <si>
    <t>Transition Economies</t>
  </si>
  <si>
    <t>Brazil</t>
  </si>
  <si>
    <t>Czech Republic</t>
  </si>
  <si>
    <t>Korea, Rep. Of</t>
  </si>
  <si>
    <t>South Africa</t>
  </si>
  <si>
    <t>Other Countries</t>
  </si>
  <si>
    <t xml:space="preserve">Producers of </t>
  </si>
  <si>
    <t>Retail Trade</t>
  </si>
  <si>
    <t xml:space="preserve">4.2 Social and Related </t>
  </si>
  <si>
    <t xml:space="preserve">4.3 Recreational and </t>
  </si>
  <si>
    <t>Belgium</t>
  </si>
  <si>
    <t>Norway</t>
  </si>
  <si>
    <t>United Kingdom</t>
  </si>
  <si>
    <t>Source: Services Statistics on Value Added and Employment, OECD 1997.</t>
  </si>
  <si>
    <t>… data not available or included in another sector (see Annex D).</t>
  </si>
  <si>
    <t>Average Annual Growth Rate</t>
  </si>
  <si>
    <t>Key Electronic Commerce</t>
  </si>
  <si>
    <t>Relevant Sectors</t>
  </si>
  <si>
    <t>1990-1994</t>
  </si>
  <si>
    <t>Wholesale and Retail Trade</t>
  </si>
  <si>
    <t xml:space="preserve"> Communication</t>
  </si>
  <si>
    <t xml:space="preserve"> Financial Institutions</t>
  </si>
  <si>
    <t>Community and Social Services</t>
  </si>
  <si>
    <t xml:space="preserve"> Government Services</t>
  </si>
  <si>
    <t>Other Producer Services</t>
  </si>
  <si>
    <t>Reference:</t>
  </si>
  <si>
    <t>Average GDP Growth, Total Economy</t>
  </si>
  <si>
    <r>
      <t>Australia</t>
    </r>
    <r>
      <rPr>
        <b/>
        <vertAlign val="superscript"/>
        <sz val="11"/>
        <rFont val="Arial"/>
        <family val="2"/>
      </rPr>
      <t>1</t>
    </r>
  </si>
  <si>
    <t>Selected Industries: Distribution of Inputs</t>
  </si>
  <si>
    <t>GDP</t>
  </si>
  <si>
    <t>Total Commodity Output</t>
  </si>
  <si>
    <t xml:space="preserve">Livestock and </t>
  </si>
  <si>
    <t>New Construction</t>
  </si>
  <si>
    <t>Food</t>
  </si>
  <si>
    <t>Apparel</t>
  </si>
  <si>
    <t>Drugs</t>
  </si>
  <si>
    <t>Computer and Office</t>
  </si>
  <si>
    <t>Motor Vehicles</t>
  </si>
  <si>
    <t>Communications</t>
  </si>
  <si>
    <t>Radio and TV</t>
  </si>
  <si>
    <t>Wholesale &amp;</t>
  </si>
  <si>
    <t>Wholesale Trade</t>
  </si>
  <si>
    <t xml:space="preserve">Finance </t>
  </si>
  <si>
    <t>Finance</t>
  </si>
  <si>
    <t>Advertising</t>
  </si>
  <si>
    <t xml:space="preserve">Selected  </t>
  </si>
  <si>
    <t>Computer and Data</t>
  </si>
  <si>
    <t>Legal Engineering, Accounting</t>
  </si>
  <si>
    <t xml:space="preserve">Educational and Social </t>
  </si>
  <si>
    <t>Other Industries</t>
  </si>
  <si>
    <t>Commodities Relevant to Electronic Commerce: Distribution of Output</t>
  </si>
  <si>
    <t>livestock products</t>
  </si>
  <si>
    <t>Equipment</t>
  </si>
  <si>
    <t>Broadcasting</t>
  </si>
  <si>
    <t>and</t>
  </si>
  <si>
    <t>Business</t>
  </si>
  <si>
    <t>Processing Services</t>
  </si>
  <si>
    <t xml:space="preserve"> and Related Services</t>
  </si>
  <si>
    <t>Services(except medical)</t>
  </si>
  <si>
    <t>Services, and membership organisations</t>
  </si>
  <si>
    <t>Newspapers and periodicals</t>
  </si>
  <si>
    <t>Other printing and publishing</t>
  </si>
  <si>
    <t>Communications, except radio and TV</t>
  </si>
  <si>
    <t>Radio and TV broadcasting</t>
  </si>
  <si>
    <t>Wholesale trade</t>
  </si>
  <si>
    <t>Retail trade</t>
  </si>
  <si>
    <t>Computer and data processing services</t>
  </si>
  <si>
    <t>Legal, engineering, accounting and related services</t>
  </si>
  <si>
    <t>Other business and professional services, except medical</t>
  </si>
  <si>
    <t>Educational and social services, and membership organisations</t>
  </si>
  <si>
    <t>SUM)</t>
  </si>
  <si>
    <t>Other commodities</t>
  </si>
  <si>
    <t>TOTAL INTERMEDIATE INPUTS</t>
  </si>
  <si>
    <t>VALUE ADDED</t>
  </si>
  <si>
    <t>TOTAL INDUSTRIAL OUTPUTS</t>
  </si>
  <si>
    <t xml:space="preserve">Total </t>
  </si>
  <si>
    <t>Livestock &amp;</t>
  </si>
  <si>
    <t>New</t>
  </si>
  <si>
    <t xml:space="preserve">Computer </t>
  </si>
  <si>
    <t xml:space="preserve">Wholesale </t>
  </si>
  <si>
    <t>Other Sectors</t>
  </si>
  <si>
    <t xml:space="preserve">Commodity </t>
  </si>
  <si>
    <t>livestock</t>
  </si>
  <si>
    <t xml:space="preserve"> Construction</t>
  </si>
  <si>
    <t>&amp; Office</t>
  </si>
  <si>
    <t>&amp; Retail</t>
  </si>
  <si>
    <t>Output</t>
  </si>
  <si>
    <t xml:space="preserve">Commodities Relevant </t>
  </si>
  <si>
    <t>products</t>
  </si>
  <si>
    <t>Trade</t>
  </si>
  <si>
    <t xml:space="preserve">   to Electronic Commerce: </t>
  </si>
  <si>
    <t xml:space="preserve">Computer &amp; </t>
  </si>
  <si>
    <t xml:space="preserve">   data processing services</t>
  </si>
  <si>
    <t xml:space="preserve">Legal, engineering, </t>
  </si>
  <si>
    <t xml:space="preserve">   accounting and related services</t>
  </si>
  <si>
    <t xml:space="preserve">Other business &amp; </t>
  </si>
  <si>
    <t xml:space="preserve">   professional services, except medical</t>
  </si>
  <si>
    <t xml:space="preserve">Educational &amp; social services, </t>
  </si>
  <si>
    <t xml:space="preserve">   &amp; membership organisations</t>
  </si>
  <si>
    <t xml:space="preserve">EC Relevant Commodities Total </t>
  </si>
  <si>
    <t>Source: U.S. Department of Commerce, Bureau of Economic Analysis.</t>
  </si>
  <si>
    <t>Selected "Industries": Distribution of Inputs</t>
  </si>
  <si>
    <t xml:space="preserve">Other </t>
  </si>
  <si>
    <t>Services, and membership</t>
  </si>
  <si>
    <t>Sectors</t>
  </si>
  <si>
    <t xml:space="preserve"> organisations</t>
  </si>
  <si>
    <t>Other commodities &amp; Value Added</t>
  </si>
  <si>
    <t>TOTAL "INDUSTRIAL" OUTPUTS</t>
  </si>
  <si>
    <t>Selected "Industries" Distribution of Inputs</t>
  </si>
  <si>
    <t>Agriculture,</t>
  </si>
  <si>
    <t>Agriculture</t>
  </si>
  <si>
    <t>Forestry</t>
  </si>
  <si>
    <t>Fishing</t>
  </si>
  <si>
    <t>Pharmaceutical</t>
  </si>
  <si>
    <t xml:space="preserve">Telecom </t>
  </si>
  <si>
    <t xml:space="preserve">Motor </t>
  </si>
  <si>
    <t>Bread</t>
  </si>
  <si>
    <t>Clothing</t>
  </si>
  <si>
    <t>Construction</t>
  </si>
  <si>
    <t>Banking</t>
  </si>
  <si>
    <t>Auxiliary</t>
  </si>
  <si>
    <t xml:space="preserve">Selected </t>
  </si>
  <si>
    <t>Estate</t>
  </si>
  <si>
    <t>Legal</t>
  </si>
  <si>
    <t>Accountancy</t>
  </si>
  <si>
    <t>Computer</t>
  </si>
  <si>
    <t xml:space="preserve">Educational </t>
  </si>
  <si>
    <t>Education</t>
  </si>
  <si>
    <t>Welfare</t>
  </si>
  <si>
    <t>Forestry &amp;</t>
  </si>
  <si>
    <t>Equipments</t>
  </si>
  <si>
    <t>Vehicles</t>
  </si>
  <si>
    <t xml:space="preserve">Business </t>
  </si>
  <si>
    <t>Agents</t>
  </si>
  <si>
    <t>Professional</t>
  </si>
  <si>
    <t>&amp; Welfare</t>
  </si>
  <si>
    <t>Intermediate</t>
  </si>
  <si>
    <t xml:space="preserve">Final </t>
  </si>
  <si>
    <t>Demand</t>
  </si>
  <si>
    <t>Printing and publishing</t>
  </si>
  <si>
    <t>7</t>
  </si>
  <si>
    <t>Wholesale distribution</t>
  </si>
  <si>
    <t>12</t>
  </si>
  <si>
    <t>Retail distribution</t>
  </si>
  <si>
    <t>Telecomunications</t>
  </si>
  <si>
    <t>Banking and finance</t>
  </si>
  <si>
    <t>Auxiliary financial services</t>
  </si>
  <si>
    <t>Estate agents</t>
  </si>
  <si>
    <t>Legal services</t>
  </si>
  <si>
    <t>Accountancy services</t>
  </si>
  <si>
    <t>Other professional services</t>
  </si>
  <si>
    <t>Computing services</t>
  </si>
  <si>
    <t>Other business services</t>
  </si>
  <si>
    <t>Recreational and welfare services</t>
  </si>
  <si>
    <t>Total Intermediate</t>
  </si>
  <si>
    <t>Other commodites &amp; Value added</t>
  </si>
  <si>
    <t>Industry</t>
  </si>
  <si>
    <t>Purchases</t>
  </si>
  <si>
    <t>TOTAL "INDUSTRIAL" INPUTS</t>
  </si>
  <si>
    <t>Source: UK Central Statistical Office.</t>
  </si>
  <si>
    <r>
      <t>Other commodites &amp; value added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</si>
  <si>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8"/>
        <rFont val="Arial"/>
        <family val="2"/>
      </rPr>
      <t>Other value added includes: imports of goods and services, sales by final demand, taxes on expenditure less subsidies, income from employment, and gross profits.</t>
    </r>
  </si>
  <si>
    <t>Total Services</t>
  </si>
  <si>
    <t xml:space="preserve">Share of Trade in Goods </t>
  </si>
  <si>
    <t>Czech Rep.</t>
  </si>
  <si>
    <t>Finland</t>
  </si>
  <si>
    <t>Average</t>
  </si>
  <si>
    <t>GDP in Billions of US$</t>
  </si>
  <si>
    <r>
      <t>Communication</t>
    </r>
    <r>
      <rPr>
        <b/>
        <vertAlign val="superscript"/>
        <sz val="8"/>
        <rFont val="Arial"/>
        <family val="2"/>
      </rPr>
      <t>5</t>
    </r>
  </si>
  <si>
    <r>
      <t>Insurance</t>
    </r>
    <r>
      <rPr>
        <b/>
        <vertAlign val="superscript"/>
        <sz val="8"/>
        <rFont val="Arial"/>
        <family val="2"/>
      </rPr>
      <t>6</t>
    </r>
  </si>
  <si>
    <r>
      <t>Finance</t>
    </r>
    <r>
      <rPr>
        <b/>
        <vertAlign val="superscript"/>
        <sz val="8"/>
        <rFont val="Arial"/>
        <family val="2"/>
      </rPr>
      <t>6</t>
    </r>
  </si>
  <si>
    <r>
      <t>Australia</t>
    </r>
    <r>
      <rPr>
        <b/>
        <vertAlign val="superscript"/>
        <sz val="10"/>
        <rFont val="Arial"/>
        <family val="2"/>
      </rPr>
      <t>1</t>
    </r>
  </si>
  <si>
    <r>
      <t>France</t>
    </r>
    <r>
      <rPr>
        <b/>
        <vertAlign val="superscript"/>
        <sz val="10"/>
        <rFont val="Arial"/>
        <family val="2"/>
      </rPr>
      <t>3</t>
    </r>
  </si>
  <si>
    <r>
      <t>Spain</t>
    </r>
    <r>
      <rPr>
        <b/>
        <vertAlign val="superscript"/>
        <sz val="10"/>
        <rFont val="Arial"/>
        <family val="2"/>
      </rPr>
      <t>2 4</t>
    </r>
  </si>
  <si>
    <r>
      <t>Switzerland</t>
    </r>
    <r>
      <rPr>
        <b/>
        <vertAlign val="superscript"/>
        <sz val="10"/>
        <rFont val="Arial"/>
        <family val="2"/>
      </rPr>
      <t>1</t>
    </r>
  </si>
  <si>
    <r>
      <t>Turkey</t>
    </r>
    <r>
      <rPr>
        <b/>
        <vertAlign val="superscript"/>
        <sz val="10"/>
        <rFont val="Arial"/>
        <family val="2"/>
      </rPr>
      <t>1 2</t>
    </r>
  </si>
  <si>
    <r>
      <t>United Kingdom</t>
    </r>
    <r>
      <rPr>
        <b/>
        <vertAlign val="superscript"/>
        <sz val="10"/>
        <rFont val="Arial"/>
        <family val="2"/>
      </rPr>
      <t>1</t>
    </r>
  </si>
  <si>
    <t>Personal/Cultural/Recreational</t>
  </si>
  <si>
    <t>Source:Balance of Payments, IMF; Services Statistics on Value Added and Employment, OECD 1997.</t>
  </si>
  <si>
    <t>Denmark</t>
  </si>
  <si>
    <t>Ireland</t>
  </si>
  <si>
    <t>Source: Eurostat.</t>
  </si>
  <si>
    <t>with simple average tariff rate</t>
  </si>
  <si>
    <t>USA</t>
  </si>
  <si>
    <t>Hong Kong, SAR</t>
  </si>
  <si>
    <t>Slovenia</t>
  </si>
  <si>
    <t xml:space="preserve">Total Developing and </t>
  </si>
  <si>
    <r>
      <t>8.16</t>
    </r>
    <r>
      <rPr>
        <vertAlign val="superscript"/>
        <sz val="10"/>
        <rFont val="Arial"/>
        <family val="2"/>
      </rPr>
      <t>b</t>
    </r>
  </si>
  <si>
    <r>
      <t>1</t>
    </r>
    <r>
      <rPr>
        <b/>
        <sz val="8"/>
        <rFont val="Arial"/>
        <family val="2"/>
      </rPr>
      <t>Total import duties/total revenue 1995</t>
    </r>
  </si>
  <si>
    <r>
      <t>2</t>
    </r>
    <r>
      <rPr>
        <b/>
        <sz val="8"/>
        <rFont val="Arial"/>
        <family val="2"/>
      </rPr>
      <t>Total import duties/total revenue 1993</t>
    </r>
  </si>
  <si>
    <r>
      <t>3</t>
    </r>
    <r>
      <rPr>
        <b/>
        <sz val="8"/>
        <rFont val="Arial"/>
        <family val="2"/>
      </rPr>
      <t>Total import duties/total revenue 1994</t>
    </r>
  </si>
  <si>
    <r>
      <t>4</t>
    </r>
    <r>
      <rPr>
        <b/>
        <sz val="8"/>
        <rFont val="Arial"/>
        <family val="2"/>
      </rPr>
      <t>Total import duties/total revenue 1992</t>
    </r>
  </si>
  <si>
    <t>Peru</t>
  </si>
  <si>
    <t>HS CODE</t>
  </si>
  <si>
    <t>…of a width of 35mm or more</t>
  </si>
  <si>
    <t>…other</t>
  </si>
  <si>
    <t>Printed Matter</t>
  </si>
  <si>
    <t>Children's picture, drawing or colouring books</t>
  </si>
  <si>
    <t>Maps and charts in book form</t>
  </si>
  <si>
    <t>Printed books, brochures, leaflets and similar printed matter, in single sheets</t>
  </si>
  <si>
    <t>Dictionaries and encyclopedias, and serial installments thereof, not in single sheets</t>
  </si>
  <si>
    <t>Other books, brochures and similar printed matter, not in single sheets</t>
  </si>
  <si>
    <t>Newspapers, journals and periodicals, whether or not illustrated or containing advertising material</t>
  </si>
  <si>
    <t>…appearing at least four times a week</t>
  </si>
  <si>
    <t>Printed matter, n.e.s.</t>
  </si>
  <si>
    <t>Paper and paperboard labels of all kinds, whether or not printed</t>
  </si>
  <si>
    <t>49.6.00</t>
  </si>
  <si>
    <t>Calendarsof any kind, printed (including calendar books)</t>
  </si>
  <si>
    <t>Music, printed or in manuscript, whether or not bound or illustrated</t>
  </si>
  <si>
    <t>Trade advertising  material, commercial catalogues and the like</t>
  </si>
  <si>
    <t>Pictures, designs and photographs</t>
  </si>
  <si>
    <t>… of a width not exceeding 4 mm</t>
  </si>
  <si>
    <t>…of a width exceeding 4 mm but not exceeding 6.5 mm</t>
  </si>
  <si>
    <t xml:space="preserve">…of a width exceeding 6.5 mm </t>
  </si>
  <si>
    <t>Video games of a kind used with a television receiver</t>
  </si>
  <si>
    <t>Telecommunications</t>
  </si>
  <si>
    <t xml:space="preserve">Insurance </t>
  </si>
  <si>
    <t xml:space="preserve">Accounting, management </t>
  </si>
  <si>
    <t>&amp; related services</t>
  </si>
  <si>
    <t xml:space="preserve">Advertising </t>
  </si>
  <si>
    <t>&amp; Retail Trade</t>
  </si>
  <si>
    <t>Transport, Storage</t>
  </si>
  <si>
    <t xml:space="preserve"> &amp; Communication</t>
  </si>
  <si>
    <t xml:space="preserve">Real Estate, Renting </t>
  </si>
  <si>
    <t>&amp; Business Activities</t>
  </si>
  <si>
    <t>AVERAGE</t>
  </si>
  <si>
    <t>Wholesale</t>
  </si>
  <si>
    <t>Imports(in millions of US $)</t>
  </si>
  <si>
    <t>Total(in millions of US $)</t>
  </si>
  <si>
    <t>Exports(in millions of US$)</t>
  </si>
  <si>
    <t xml:space="preserve">Financial </t>
  </si>
  <si>
    <t xml:space="preserve"> Processing Services</t>
  </si>
  <si>
    <t>Computer &amp; Data</t>
  </si>
  <si>
    <t>Government</t>
  </si>
  <si>
    <t>Real Estate</t>
  </si>
  <si>
    <r>
      <t xml:space="preserve"> Services</t>
    </r>
    <r>
      <rPr>
        <b/>
        <vertAlign val="superscript"/>
        <sz val="9"/>
        <rFont val="Arial"/>
        <family val="2"/>
      </rPr>
      <t>5</t>
    </r>
  </si>
  <si>
    <t>Engineering, architectural and surveying services</t>
  </si>
  <si>
    <t>Equipment Rental and Leasing</t>
  </si>
  <si>
    <t>Total Openness Indicator</t>
  </si>
  <si>
    <t>All Commercial</t>
  </si>
  <si>
    <t>Other Services</t>
  </si>
  <si>
    <t>Outflows</t>
  </si>
  <si>
    <t>Inflows</t>
  </si>
  <si>
    <t>Economic Activity</t>
  </si>
  <si>
    <t>Intra-EU</t>
  </si>
  <si>
    <t>Extra-EU</t>
  </si>
  <si>
    <t>Transports, Communication</t>
  </si>
  <si>
    <t>Financial Intermediation</t>
  </si>
  <si>
    <t>Real Estate and Business Activities</t>
  </si>
  <si>
    <t>Total Computer, Research &amp; Other Business</t>
  </si>
  <si>
    <t>Source: European Union Direct Investment Yearbook, Eurostat 1997.</t>
  </si>
  <si>
    <t>(incl. SITC Code)</t>
  </si>
  <si>
    <r>
      <t>1990</t>
    </r>
    <r>
      <rPr>
        <b/>
        <vertAlign val="superscript"/>
        <sz val="10"/>
        <rFont val="Arial"/>
        <family val="2"/>
      </rPr>
      <t>b c</t>
    </r>
  </si>
  <si>
    <t>in % of total import duties</t>
  </si>
  <si>
    <t xml:space="preserve"> in % of total revenue</t>
  </si>
  <si>
    <t>of selected media products</t>
  </si>
  <si>
    <t xml:space="preserve">This may lead to over and underestimation of the trade share in certain countries. </t>
  </si>
  <si>
    <t xml:space="preserve"> This may lead to over and underestimation of the trade shares in certain countries.  </t>
  </si>
  <si>
    <t>Cross-Border (Mode 1)</t>
  </si>
  <si>
    <t>Affiliate Trade (Mode 3)</t>
  </si>
  <si>
    <t>Total Intermediate Inputs</t>
  </si>
  <si>
    <t>All</t>
  </si>
  <si>
    <t>Industries</t>
  </si>
  <si>
    <t xml:space="preserve">Average </t>
  </si>
  <si>
    <t xml:space="preserve">All </t>
  </si>
  <si>
    <t>Educational</t>
  </si>
  <si>
    <t xml:space="preserve"> and Social </t>
  </si>
  <si>
    <t>cations</t>
  </si>
  <si>
    <t>Communi-</t>
  </si>
  <si>
    <t>Commodity Description</t>
  </si>
  <si>
    <t xml:space="preserve">          </t>
  </si>
  <si>
    <t xml:space="preserve">Printed or illustrated postcards; printed cards bearing personal greetings , messages or announcements, </t>
  </si>
  <si>
    <t>whether or not illustrated, with or without envelopes or trimmings</t>
  </si>
  <si>
    <t xml:space="preserve">Plans and drawings for architectural, engineering, industrial, commercial, topographical or similar purposes, </t>
  </si>
  <si>
    <t>Maps and hydrographic or similar charts of all kinds</t>
  </si>
  <si>
    <t xml:space="preserve"> (including wall maps, topographical plans and globes), printed, no in book form</t>
  </si>
  <si>
    <t xml:space="preserve">Postcards, personal greeting message or announcement cards </t>
  </si>
  <si>
    <t>and transfers(decalcamonias), printed by any process</t>
  </si>
  <si>
    <t xml:space="preserve">being originals by hand; hand-written texts; carbon copies </t>
  </si>
  <si>
    <t>and photographic reproductions on sensitized paper of the foregoing</t>
  </si>
  <si>
    <t xml:space="preserve">Cinematograph film, exposed and developed, </t>
  </si>
  <si>
    <t>whether or not incorporating sound track or consisting only of soundtrack</t>
  </si>
  <si>
    <t xml:space="preserve">4905.1  and </t>
  </si>
  <si>
    <t xml:space="preserve"> COMMERCE RELEVANT SECTORS</t>
  </si>
  <si>
    <t>TOTAL FDI IN ELECTRONIC -</t>
  </si>
  <si>
    <t>COMMERCE RELEVANT SECTORS</t>
  </si>
  <si>
    <t>Private households with employed persons; Extra-territorial organizations and bodies.</t>
  </si>
  <si>
    <t>TOTAL FDI IN ELECTRONIC-</t>
  </si>
  <si>
    <t>All Air, Land and Water Transport</t>
  </si>
  <si>
    <r>
      <t>Other Services</t>
    </r>
    <r>
      <rPr>
        <b/>
        <vertAlign val="superscript"/>
        <sz val="10"/>
        <rFont val="Arial"/>
        <family val="2"/>
      </rPr>
      <t>2</t>
    </r>
  </si>
  <si>
    <t>Table 7: Cross-Border and Affiliate Services Trade in the United States, Electronic Commerce Relevant Sectors, 1994</t>
  </si>
  <si>
    <t>Sector</t>
  </si>
  <si>
    <r>
      <t xml:space="preserve">         Communication</t>
    </r>
    <r>
      <rPr>
        <vertAlign val="superscript"/>
        <sz val="10"/>
        <rFont val="Arial"/>
        <family val="2"/>
      </rPr>
      <t>1</t>
    </r>
  </si>
  <si>
    <t xml:space="preserve">Appendix Table 4: Share of Selected Electronic Commerce-Relevant Intermediate Inputs in Selected Industries' Input In the United States,  Based on 1992 Input-Output Tables </t>
  </si>
  <si>
    <r>
      <t xml:space="preserve">Appendix Table 6: Evolution of Sectorial Openness Indicators, Cross-Border Services Trade for Selected Countries, 1992-1996 </t>
    </r>
    <r>
      <rPr>
        <b/>
        <i/>
        <sz val="10"/>
        <rFont val="Arial"/>
        <family val="2"/>
      </rPr>
      <t>(in % of sectorial GDP)</t>
    </r>
    <r>
      <rPr>
        <b/>
        <sz val="12"/>
        <rFont val="Arial"/>
        <family val="2"/>
      </rPr>
      <t xml:space="preserve"> </t>
    </r>
  </si>
  <si>
    <r>
      <t xml:space="preserve">Appendix Table 7: Establishment Trade of Selected EU-Members, 1994 </t>
    </r>
    <r>
      <rPr>
        <b/>
        <i/>
        <sz val="10"/>
        <rFont val="Arial"/>
        <family val="2"/>
      </rPr>
      <t>(in % of sectorial value added)</t>
    </r>
    <r>
      <rPr>
        <b/>
        <i/>
        <vertAlign val="superscript"/>
        <sz val="10"/>
        <rFont val="Arial"/>
        <family val="2"/>
      </rPr>
      <t>1</t>
    </r>
  </si>
  <si>
    <t xml:space="preserve">Appendix Table 8:Annual Average Growth Rates of Foreign Direct Investment Flows in EU's E-Commerce Relevant Sectors, 1992-1995 </t>
  </si>
  <si>
    <r>
      <t xml:space="preserve">Appendix Table 9: Trade in Selected Digitizable Media Products, 1996 </t>
    </r>
    <r>
      <rPr>
        <b/>
        <i/>
        <sz val="10"/>
        <rFont val="Arial"/>
        <family val="2"/>
      </rPr>
      <t>(in millions of US$)</t>
    </r>
  </si>
  <si>
    <t xml:space="preserve">Appendix Table 1: Share of Selected Electronic Commerce-Relevant Intermediate Inputs in Selected "Industries'" Inputs In the United Kingdom,  Based on 1990 Input-Output Tables </t>
  </si>
  <si>
    <t>Switzerland</t>
  </si>
  <si>
    <t>Hong Kong, China</t>
  </si>
  <si>
    <t>Korea Republic</t>
  </si>
  <si>
    <t xml:space="preserve">South African </t>
  </si>
  <si>
    <t>Customs Union</t>
  </si>
  <si>
    <t>Books, pamphlets, maps and globes, printed</t>
  </si>
  <si>
    <t>Musical instruments and parts and accessories thereof: records, tapes and other sound or similar</t>
  </si>
  <si>
    <t>recordings (excluding goods of groups 763, 882 and 883)</t>
  </si>
  <si>
    <t>Baby carriages, toys, games and sporting goods</t>
  </si>
  <si>
    <r>
      <t>Appendix Table 5: Average Annual Growth Rate in Key Electronic Commerce-Relevant Sectors, 1990's(</t>
    </r>
    <r>
      <rPr>
        <b/>
        <i/>
        <sz val="10"/>
        <rFont val="Arial"/>
        <family val="2"/>
      </rPr>
      <t>in % of GDP)</t>
    </r>
  </si>
  <si>
    <t>Products Relevant to</t>
  </si>
  <si>
    <t xml:space="preserve">   Electronic Commerce: </t>
  </si>
  <si>
    <r>
      <t>a</t>
    </r>
    <r>
      <rPr>
        <sz val="8"/>
        <rFont val="Arial"/>
        <family val="2"/>
      </rPr>
      <t>Reexports and intra-EU trade included.</t>
    </r>
  </si>
  <si>
    <r>
      <t>b</t>
    </r>
    <r>
      <rPr>
        <sz val="8"/>
        <rFont val="Arial"/>
        <family val="2"/>
      </rPr>
      <t>Chinese Taipei not included; accounted for 1% of imports and exports in 1996.</t>
    </r>
  </si>
  <si>
    <r>
      <t>c</t>
    </r>
    <r>
      <rPr>
        <sz val="8"/>
        <rFont val="Arial"/>
        <family val="2"/>
      </rPr>
      <t>Discrepancy between imports and exports possibly due to categorization problems.</t>
    </r>
  </si>
  <si>
    <r>
      <t>Source</t>
    </r>
    <r>
      <rPr>
        <sz val="8"/>
        <rFont val="Arial"/>
        <family val="2"/>
      </rPr>
      <t>: COMTRADE, United Nations Statistical Division (UNSD)</t>
    </r>
  </si>
  <si>
    <t xml:space="preserve">   Growth Rate</t>
  </si>
  <si>
    <t xml:space="preserve">    1990-1996</t>
  </si>
  <si>
    <t>Retail</t>
  </si>
  <si>
    <t xml:space="preserve"> Communi-</t>
  </si>
  <si>
    <t>and Business</t>
  </si>
  <si>
    <t>Finance,</t>
  </si>
  <si>
    <t>Social</t>
  </si>
  <si>
    <t>Community,</t>
  </si>
  <si>
    <t>Other</t>
  </si>
  <si>
    <r>
      <t>cation</t>
    </r>
    <r>
      <rPr>
        <b/>
        <vertAlign val="superscript"/>
        <sz val="10"/>
        <rFont val="Arial"/>
        <family val="2"/>
      </rPr>
      <t>1</t>
    </r>
  </si>
  <si>
    <r>
      <t xml:space="preserve"> Producer</t>
    </r>
    <r>
      <rPr>
        <b/>
        <vertAlign val="superscript"/>
        <sz val="10"/>
        <rFont val="Arial"/>
        <family val="2"/>
      </rPr>
      <t>5</t>
    </r>
  </si>
  <si>
    <r>
      <t>Services</t>
    </r>
    <r>
      <rPr>
        <b/>
        <vertAlign val="superscript"/>
        <sz val="10"/>
        <rFont val="Arial"/>
        <family val="2"/>
      </rPr>
      <t>4</t>
    </r>
  </si>
  <si>
    <r>
      <t>Services</t>
    </r>
    <r>
      <rPr>
        <b/>
        <vertAlign val="superscript"/>
        <sz val="10"/>
        <rFont val="Arial"/>
        <family val="2"/>
      </rPr>
      <t>2</t>
    </r>
  </si>
  <si>
    <r>
      <t>Services</t>
    </r>
    <r>
      <rPr>
        <b/>
        <vertAlign val="superscript"/>
        <sz val="10"/>
        <rFont val="Arial"/>
        <family val="2"/>
      </rPr>
      <t>3</t>
    </r>
  </si>
  <si>
    <r>
      <t>Source</t>
    </r>
    <r>
      <rPr>
        <sz val="9"/>
        <rFont val="Arial"/>
        <family val="2"/>
      </rPr>
      <t>: Services Statistics on Value Added and Employment, OECD 1997.</t>
    </r>
  </si>
  <si>
    <r>
      <t>4</t>
    </r>
    <r>
      <rPr>
        <sz val="9"/>
        <rFont val="Arial"/>
        <family val="2"/>
      </rPr>
      <t>Estimated at 40% of total value added for Government services sector.</t>
    </r>
  </si>
  <si>
    <r>
      <t>5</t>
    </r>
    <r>
      <rPr>
        <sz val="9"/>
        <rFont val="Arial"/>
        <family val="2"/>
      </rPr>
      <t>Estimated at 20% of value added for Other producer services sector.</t>
    </r>
  </si>
  <si>
    <t xml:space="preserve">      Weighted</t>
  </si>
  <si>
    <t xml:space="preserve">     average of</t>
  </si>
  <si>
    <t xml:space="preserve">  applied tariffs</t>
  </si>
  <si>
    <t xml:space="preserve">      Imports</t>
  </si>
  <si>
    <t xml:space="preserve">         Estimated</t>
  </si>
  <si>
    <t xml:space="preserve">       tariff revenue</t>
  </si>
  <si>
    <t xml:space="preserve">        (in %)</t>
  </si>
  <si>
    <r>
      <t>a</t>
    </r>
    <r>
      <rPr>
        <sz val="8"/>
        <rFont val="Arial"/>
        <family val="2"/>
      </rPr>
      <t>Tariff rates not available for paperboard labels of all kinds, whether or not printed (SITC 89281).</t>
    </r>
  </si>
  <si>
    <r>
      <t>b</t>
    </r>
    <r>
      <rPr>
        <sz val="8"/>
        <rFont val="Arial"/>
        <family val="2"/>
      </rPr>
      <t>Intra-NAFTA trade excluded considering that all products will be tariff free January 1, 2003, at the latest.</t>
    </r>
  </si>
  <si>
    <r>
      <t>c</t>
    </r>
    <r>
      <rPr>
        <sz val="8"/>
        <rFont val="Arial"/>
        <family val="2"/>
      </rPr>
      <t xml:space="preserve">Ad-valorem tariff estimations not available for specific duties applied to cinematograph film (SITC 883) </t>
    </r>
  </si>
  <si>
    <r>
      <t>d</t>
    </r>
    <r>
      <rPr>
        <sz val="8"/>
        <rFont val="Arial"/>
        <family val="2"/>
      </rPr>
      <t>Tariff rates not available for the following SITC lines and are therefore not included: 883.</t>
    </r>
  </si>
  <si>
    <r>
      <t>e</t>
    </r>
    <r>
      <rPr>
        <sz val="8"/>
        <rFont val="Arial"/>
        <family val="2"/>
      </rPr>
      <t>Tariff rates not available for the following SITC lines and are therefore not included: 89431.</t>
    </r>
  </si>
  <si>
    <r>
      <t>f</t>
    </r>
    <r>
      <rPr>
        <sz val="8"/>
        <rFont val="Arial"/>
        <family val="2"/>
      </rPr>
      <t>Import data not available for the following SITC lines and are therefore not included: 89285.</t>
    </r>
  </si>
  <si>
    <r>
      <t>g</t>
    </r>
    <r>
      <rPr>
        <sz val="8"/>
        <rFont val="Arial"/>
        <family val="2"/>
      </rPr>
      <t>Intra-EU trade excluded.</t>
    </r>
  </si>
  <si>
    <r>
      <t>h</t>
    </r>
    <r>
      <rPr>
        <sz val="8"/>
        <rFont val="Arial"/>
        <family val="2"/>
      </rPr>
      <t>Intra-MERCOSUR trade excluded.</t>
    </r>
  </si>
  <si>
    <r>
      <t>i</t>
    </r>
    <r>
      <rPr>
        <sz val="8"/>
        <rFont val="Arial"/>
        <family val="2"/>
      </rPr>
      <t>Intra-Australian and New Zealand trade excluded.</t>
    </r>
  </si>
  <si>
    <r>
      <t>Source</t>
    </r>
    <r>
      <rPr>
        <sz val="8"/>
        <rFont val="Arial"/>
        <family val="2"/>
      </rPr>
      <t>: COMTRADE; UNSD; Market Access Applied Tariff Database ; http://www.apectariff.org/ .</t>
    </r>
  </si>
  <si>
    <t xml:space="preserve">         and therefore excluded from the calculation.</t>
  </si>
  <si>
    <r>
      <t>1</t>
    </r>
    <r>
      <rPr>
        <sz val="8"/>
        <rFont val="Arial"/>
        <family val="2"/>
      </rPr>
      <t>Total import duties and total revenue from 1995</t>
    </r>
  </si>
  <si>
    <r>
      <t>2</t>
    </r>
    <r>
      <rPr>
        <sz val="8"/>
        <rFont val="Arial"/>
        <family val="2"/>
      </rPr>
      <t>Total import duties and total revenue from 1993</t>
    </r>
  </si>
  <si>
    <r>
      <t>3</t>
    </r>
    <r>
      <rPr>
        <sz val="8"/>
        <rFont val="Arial"/>
        <family val="2"/>
      </rPr>
      <t>Total import duties and total revenue from 1994</t>
    </r>
  </si>
  <si>
    <r>
      <t>4</t>
    </r>
    <r>
      <rPr>
        <sz val="8"/>
        <rFont val="Arial"/>
        <family val="2"/>
      </rPr>
      <t>Total import duties and total revenue from 1992</t>
    </r>
  </si>
  <si>
    <r>
      <t>Source</t>
    </r>
    <r>
      <rPr>
        <sz val="8"/>
        <rFont val="Arial"/>
        <family val="2"/>
      </rPr>
      <t>: COMTRADE; UNSD; Government Finance Statistics Yearbook , IMF 1997; Table 3.</t>
    </r>
  </si>
  <si>
    <t>Estimated tariff revenue</t>
  </si>
  <si>
    <t>Estimated tariff</t>
  </si>
  <si>
    <t>revenue of selected</t>
  </si>
  <si>
    <r>
      <t>Australia</t>
    </r>
    <r>
      <rPr>
        <vertAlign val="superscript"/>
        <sz val="10"/>
        <rFont val="Arial"/>
        <family val="2"/>
      </rPr>
      <t>1</t>
    </r>
  </si>
  <si>
    <r>
      <t>Japan</t>
    </r>
    <r>
      <rPr>
        <vertAlign val="superscript"/>
        <sz val="10"/>
        <rFont val="Arial"/>
        <family val="2"/>
      </rPr>
      <t>2</t>
    </r>
  </si>
  <si>
    <r>
      <t>Argentina</t>
    </r>
    <r>
      <rPr>
        <vertAlign val="superscript"/>
        <sz val="10"/>
        <rFont val="Arial"/>
        <family val="2"/>
      </rPr>
      <t>1</t>
    </r>
  </si>
  <si>
    <r>
      <t>Brazil*</t>
    </r>
    <r>
      <rPr>
        <vertAlign val="superscript"/>
        <sz val="10"/>
        <rFont val="Arial"/>
        <family val="2"/>
      </rPr>
      <t>2</t>
    </r>
  </si>
  <si>
    <r>
      <t>China</t>
    </r>
    <r>
      <rPr>
        <vertAlign val="superscript"/>
        <sz val="10"/>
        <rFont val="Arial"/>
        <family val="2"/>
      </rPr>
      <t>1</t>
    </r>
  </si>
  <si>
    <r>
      <t>Colombia</t>
    </r>
    <r>
      <rPr>
        <vertAlign val="superscript"/>
        <sz val="10"/>
        <rFont val="Arial"/>
        <family val="2"/>
      </rPr>
      <t>3</t>
    </r>
  </si>
  <si>
    <r>
      <t>Egypt</t>
    </r>
    <r>
      <rPr>
        <vertAlign val="superscript"/>
        <sz val="10"/>
        <rFont val="Arial"/>
        <family val="2"/>
      </rPr>
      <t>3</t>
    </r>
  </si>
  <si>
    <r>
      <t>Mexico</t>
    </r>
    <r>
      <rPr>
        <vertAlign val="superscript"/>
        <sz val="10"/>
        <rFont val="Arial"/>
        <family val="2"/>
      </rPr>
      <t>1</t>
    </r>
  </si>
  <si>
    <r>
      <t>Morocco</t>
    </r>
    <r>
      <rPr>
        <vertAlign val="superscript"/>
        <sz val="10"/>
        <rFont val="Arial"/>
        <family val="2"/>
      </rPr>
      <t>4</t>
    </r>
  </si>
  <si>
    <r>
      <t>Pakistan</t>
    </r>
    <r>
      <rPr>
        <vertAlign val="superscript"/>
        <sz val="10"/>
        <rFont val="Arial"/>
        <family val="2"/>
      </rPr>
      <t>1</t>
    </r>
  </si>
  <si>
    <r>
      <t>Paraguay</t>
    </r>
    <r>
      <rPr>
        <vertAlign val="superscript"/>
        <sz val="10"/>
        <rFont val="Arial"/>
        <family val="2"/>
      </rPr>
      <t>2</t>
    </r>
  </si>
  <si>
    <t>Thailand*</t>
  </si>
  <si>
    <t xml:space="preserve"> Services in % of GDP</t>
  </si>
  <si>
    <t>&amp; Commercial</t>
  </si>
  <si>
    <t>Table 6: Sectorial Openness Indicators, Cross-Border Services Trade for Selected Countries, 1995</t>
  </si>
  <si>
    <r>
      <t>France</t>
    </r>
    <r>
      <rPr>
        <vertAlign val="superscript"/>
        <sz val="10"/>
        <rFont val="Arial"/>
        <family val="2"/>
      </rPr>
      <t>3</t>
    </r>
  </si>
  <si>
    <r>
      <t>Spain</t>
    </r>
    <r>
      <rPr>
        <vertAlign val="superscript"/>
        <sz val="10"/>
        <rFont val="Arial"/>
        <family val="2"/>
      </rPr>
      <t>2 4</t>
    </r>
  </si>
  <si>
    <r>
      <t>Switzerland</t>
    </r>
    <r>
      <rPr>
        <vertAlign val="superscript"/>
        <sz val="10"/>
        <rFont val="Arial"/>
        <family val="2"/>
      </rPr>
      <t>1</t>
    </r>
  </si>
  <si>
    <r>
      <t>Turkey</t>
    </r>
    <r>
      <rPr>
        <vertAlign val="superscript"/>
        <sz val="10"/>
        <rFont val="Arial"/>
        <family val="2"/>
      </rPr>
      <t>1 2</t>
    </r>
  </si>
  <si>
    <r>
      <t>United Kingdom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</si>
  <si>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>Data for 1994</t>
    </r>
  </si>
  <si>
    <r>
      <t>3</t>
    </r>
    <r>
      <rPr>
        <sz val="8"/>
        <rFont val="Arial"/>
        <family val="2"/>
      </rPr>
      <t>Data for 1996</t>
    </r>
  </si>
  <si>
    <r>
      <t>4</t>
    </r>
    <r>
      <rPr>
        <sz val="8"/>
        <rFont val="Arial"/>
        <family val="2"/>
      </rPr>
      <t>Data for 1993</t>
    </r>
  </si>
  <si>
    <r>
      <t>Source</t>
    </r>
    <r>
      <rPr>
        <sz val="8"/>
        <rFont val="Arial"/>
        <family val="2"/>
      </rPr>
      <t xml:space="preserve">: Balance of Payments Statistics, IMF; International Financial Statistics, IMF 1997; Services Statistics on Value Added and Employment, OECD 1997; </t>
    </r>
  </si>
  <si>
    <t xml:space="preserve">              Annual Report, WTO 1997.</t>
  </si>
  <si>
    <t xml:space="preserve">                 (in million ECU)</t>
  </si>
  <si>
    <t>Table 8: Foreign Direct Investment Flows in EU's Electronic-Commerce Relevant Sectors, 1992-1995</t>
  </si>
  <si>
    <r>
      <t>2</t>
    </r>
    <r>
      <rPr>
        <sz val="10"/>
        <rFont val="Arial"/>
        <family val="2"/>
      </rPr>
      <t>Includes miscellaneous transport services.</t>
    </r>
  </si>
  <si>
    <r>
      <t>Source</t>
    </r>
    <r>
      <rPr>
        <sz val="10"/>
        <rFont val="Arial"/>
        <family val="2"/>
      </rPr>
      <t>: European Union Direct Investment Yearbook, Eurostat 1997.</t>
    </r>
  </si>
  <si>
    <t xml:space="preserve">Health and social work; Other community, social and personal service activities; Other services activities; </t>
  </si>
  <si>
    <r>
      <t>1</t>
    </r>
    <r>
      <rPr>
        <sz val="10"/>
        <rFont val="Arial"/>
        <family val="2"/>
      </rPr>
      <t xml:space="preserve">Other Services, not all electronic commerce relevant, include: Public administration and defence; compulsory social security; Education; </t>
    </r>
  </si>
  <si>
    <r>
      <t>2</t>
    </r>
    <r>
      <rPr>
        <sz val="10"/>
        <rFont val="Arial"/>
        <family val="2"/>
      </rPr>
      <t>Openness indicator=(Exports + Imports)/Sectorial GDP.</t>
    </r>
  </si>
  <si>
    <r>
      <t>3</t>
    </r>
    <r>
      <rPr>
        <sz val="10"/>
        <rFont val="Arial"/>
        <family val="2"/>
      </rPr>
      <t>Retail sector not included in the establishment trade exports since data was supressed to avoid disclosure of individual companies.</t>
    </r>
  </si>
  <si>
    <r>
      <t>4</t>
    </r>
    <r>
      <rPr>
        <sz val="10"/>
        <rFont val="Arial"/>
        <family val="2"/>
      </rPr>
      <t xml:space="preserve">Excludes banking. </t>
    </r>
  </si>
  <si>
    <r>
      <t>5</t>
    </r>
    <r>
      <rPr>
        <sz val="10"/>
        <rFont val="Arial"/>
        <family val="2"/>
      </rPr>
      <t>Includes all non-government provided services.</t>
    </r>
  </si>
  <si>
    <r>
      <t>6</t>
    </r>
    <r>
      <rPr>
        <sz val="10"/>
        <rFont val="Arial"/>
        <family val="2"/>
      </rPr>
      <t>1995 instead of 1994.</t>
    </r>
  </si>
  <si>
    <r>
      <t>7</t>
    </r>
    <r>
      <rPr>
        <sz val="10"/>
        <rFont val="Arial"/>
        <family val="2"/>
      </rPr>
      <t>Gross figures, not net of claims settled. Therefore not comparable.</t>
    </r>
  </si>
  <si>
    <r>
      <t>8</t>
    </r>
    <r>
      <rPr>
        <sz val="10"/>
        <rFont val="Arial"/>
        <family val="2"/>
      </rPr>
      <t>Establishment trade accounts for motion pictures, including television tape and film.</t>
    </r>
  </si>
  <si>
    <r>
      <t xml:space="preserve"> Openness Indicator</t>
    </r>
    <r>
      <rPr>
        <vertAlign val="superscript"/>
        <sz val="10"/>
        <rFont val="Arial"/>
        <family val="2"/>
      </rPr>
      <t>2</t>
    </r>
  </si>
  <si>
    <r>
      <t>&amp; Retail</t>
    </r>
    <r>
      <rPr>
        <b/>
        <vertAlign val="superscript"/>
        <sz val="10"/>
        <rFont val="Arial"/>
        <family val="2"/>
      </rPr>
      <t>3</t>
    </r>
  </si>
  <si>
    <r>
      <t xml:space="preserve"> &amp; Communications</t>
    </r>
    <r>
      <rPr>
        <b/>
        <vertAlign val="superscript"/>
        <sz val="10"/>
        <rFont val="Arial"/>
        <family val="2"/>
      </rPr>
      <t>6</t>
    </r>
  </si>
  <si>
    <r>
      <t>Services</t>
    </r>
    <r>
      <rPr>
        <b/>
        <vertAlign val="superscript"/>
        <sz val="10"/>
        <rFont val="Arial"/>
        <family val="2"/>
      </rPr>
      <t>4 6</t>
    </r>
  </si>
  <si>
    <r>
      <t>Services</t>
    </r>
    <r>
      <rPr>
        <b/>
        <vertAlign val="superscript"/>
        <sz val="10"/>
        <rFont val="Arial"/>
        <family val="2"/>
      </rPr>
      <t>7</t>
    </r>
  </si>
  <si>
    <r>
      <t>Services</t>
    </r>
    <r>
      <rPr>
        <b/>
        <vertAlign val="superscript"/>
        <sz val="10"/>
        <rFont val="Arial"/>
        <family val="2"/>
      </rPr>
      <t>1 6</t>
    </r>
  </si>
  <si>
    <r>
      <t>Services</t>
    </r>
    <r>
      <rPr>
        <b/>
        <vertAlign val="superscript"/>
        <sz val="10"/>
        <rFont val="Arial"/>
        <family val="2"/>
      </rPr>
      <t>8</t>
    </r>
  </si>
  <si>
    <r>
      <t>Source</t>
    </r>
    <r>
      <rPr>
        <sz val="10"/>
        <rFont val="Arial"/>
        <family val="2"/>
      </rPr>
      <t xml:space="preserve">: Balance of Payments; IMF; Survey of Current Business (1996, november); US Department of Commerce; Services Statistics on Value Added and </t>
    </r>
  </si>
  <si>
    <t xml:space="preserve">     Employment, OECD 1997;</t>
  </si>
  <si>
    <r>
      <t>1</t>
    </r>
    <r>
      <rPr>
        <sz val="10"/>
        <rFont val="Arial"/>
        <family val="2"/>
      </rPr>
      <t xml:space="preserve">Other business services includes: Computer and data processing, Accounting, management and related services, Advertising serivces, Equipment rental and </t>
    </r>
  </si>
  <si>
    <t xml:space="preserve">        architectural and surveying services data is not available and therefore not included.</t>
  </si>
  <si>
    <t xml:space="preserve">        leasing, except autos and computers and Engineering, architectural and surveying services.  However Equipment rental and leasing and Engineering,</t>
  </si>
  <si>
    <r>
      <t>1</t>
    </r>
    <r>
      <rPr>
        <sz val="8"/>
        <rFont val="Arial"/>
        <family val="2"/>
      </rPr>
      <t>Other value added includes: imports of goods and services, sales by final demand, taxes on expenditure less subsidies, income from employment, and gross profits.</t>
    </r>
  </si>
  <si>
    <r>
      <t>Source</t>
    </r>
    <r>
      <rPr>
        <sz val="8"/>
        <rFont val="Arial"/>
        <family val="2"/>
      </rPr>
      <t>: Input Output Tables for the United Kingdom 1990; UK Central Statistical Office.</t>
    </r>
  </si>
  <si>
    <t xml:space="preserve">                                                                                     Selected Industries: Distribution of Inputs</t>
  </si>
  <si>
    <r>
      <t>Source</t>
    </r>
    <r>
      <rPr>
        <sz val="10"/>
        <rFont val="Arial"/>
        <family val="2"/>
      </rPr>
      <t>:  Standard International Trade Classification, Rev. 3 United Nations 1986.</t>
    </r>
  </si>
  <si>
    <t>Appendix Table 2:  Equivalences SITC Rev.3 - HS Code of List of Products Potentially Digitizable As Provided</t>
  </si>
  <si>
    <r>
      <t>Source</t>
    </r>
    <r>
      <rPr>
        <sz val="8"/>
        <rFont val="Arial"/>
        <family val="2"/>
      </rPr>
      <t>: COMTRADE</t>
    </r>
  </si>
  <si>
    <r>
      <t>Appendix Table 3:Total Imports of Selected Digitizable Media Products, 1996</t>
    </r>
    <r>
      <rPr>
        <b/>
        <vertAlign val="superscript"/>
        <sz val="12"/>
        <rFont val="Arial"/>
        <family val="2"/>
      </rPr>
      <t>a</t>
    </r>
  </si>
  <si>
    <r>
      <t>Argentina</t>
    </r>
    <r>
      <rPr>
        <vertAlign val="superscript"/>
        <sz val="10"/>
        <rFont val="Arial"/>
        <family val="2"/>
      </rPr>
      <t>h</t>
    </r>
  </si>
  <si>
    <r>
      <t>Brazil*</t>
    </r>
    <r>
      <rPr>
        <vertAlign val="superscript"/>
        <sz val="10"/>
        <rFont val="Arial"/>
        <family val="2"/>
      </rPr>
      <t>h</t>
    </r>
  </si>
  <si>
    <r>
      <t>Chinese Taipei</t>
    </r>
    <r>
      <rPr>
        <vertAlign val="superscript"/>
        <sz val="10"/>
        <rFont val="Arial"/>
        <family val="2"/>
      </rPr>
      <t>c</t>
    </r>
  </si>
  <si>
    <r>
      <t>Colombia</t>
    </r>
    <r>
      <rPr>
        <vertAlign val="superscript"/>
        <sz val="10"/>
        <rFont val="Arial"/>
        <family val="2"/>
      </rPr>
      <t>a</t>
    </r>
  </si>
  <si>
    <r>
      <t>Czech Republic</t>
    </r>
    <r>
      <rPr>
        <vertAlign val="superscript"/>
        <sz val="10"/>
        <rFont val="Arial"/>
        <family val="2"/>
      </rPr>
      <t>a</t>
    </r>
  </si>
  <si>
    <r>
      <t>Egypt</t>
    </r>
    <r>
      <rPr>
        <vertAlign val="superscript"/>
        <sz val="10"/>
        <rFont val="Arial"/>
        <family val="2"/>
      </rPr>
      <t>af</t>
    </r>
  </si>
  <si>
    <r>
      <t>Hong Kong, SAR</t>
    </r>
    <r>
      <rPr>
        <vertAlign val="superscript"/>
        <sz val="10"/>
        <rFont val="Arial"/>
        <family val="2"/>
      </rPr>
      <t>a</t>
    </r>
  </si>
  <si>
    <r>
      <t>India</t>
    </r>
    <r>
      <rPr>
        <vertAlign val="superscript"/>
        <sz val="10"/>
        <rFont val="Arial"/>
        <family val="2"/>
      </rPr>
      <t>a</t>
    </r>
  </si>
  <si>
    <r>
      <t>Malaysia</t>
    </r>
    <r>
      <rPr>
        <vertAlign val="superscript"/>
        <sz val="10"/>
        <rFont val="Arial"/>
        <family val="2"/>
      </rPr>
      <t>a</t>
    </r>
  </si>
  <si>
    <r>
      <t>Mexico</t>
    </r>
    <r>
      <rPr>
        <vertAlign val="superscript"/>
        <sz val="10"/>
        <rFont val="Arial"/>
        <family val="2"/>
      </rPr>
      <t>b</t>
    </r>
  </si>
  <si>
    <r>
      <t>Morocco</t>
    </r>
    <r>
      <rPr>
        <vertAlign val="superscript"/>
        <sz val="10"/>
        <rFont val="Arial"/>
        <family val="2"/>
      </rPr>
      <t>ae</t>
    </r>
  </si>
  <si>
    <r>
      <t>Pakistan</t>
    </r>
    <r>
      <rPr>
        <vertAlign val="superscript"/>
        <sz val="10"/>
        <rFont val="Arial"/>
        <family val="2"/>
      </rPr>
      <t>ac</t>
    </r>
  </si>
  <si>
    <r>
      <t>Paraguay</t>
    </r>
    <r>
      <rPr>
        <vertAlign val="superscript"/>
        <sz val="10"/>
        <rFont val="Arial"/>
        <family val="2"/>
      </rPr>
      <t>ah</t>
    </r>
  </si>
  <si>
    <r>
      <t>Peru</t>
    </r>
    <r>
      <rPr>
        <vertAlign val="superscript"/>
        <sz val="10"/>
        <rFont val="Arial"/>
        <family val="2"/>
      </rPr>
      <t>ad</t>
    </r>
  </si>
  <si>
    <r>
      <t>Philippines</t>
    </r>
    <r>
      <rPr>
        <vertAlign val="superscript"/>
        <sz val="10"/>
        <rFont val="Arial"/>
        <family val="2"/>
      </rPr>
      <t>cf</t>
    </r>
  </si>
  <si>
    <r>
      <t>Slovenia</t>
    </r>
    <r>
      <rPr>
        <vertAlign val="superscript"/>
        <sz val="10"/>
        <rFont val="Arial"/>
        <family val="2"/>
      </rPr>
      <t>a</t>
    </r>
  </si>
  <si>
    <r>
      <t>Thailand</t>
    </r>
    <r>
      <rPr>
        <vertAlign val="superscript"/>
        <sz val="10"/>
        <rFont val="Arial"/>
        <family val="2"/>
      </rPr>
      <t>ac</t>
    </r>
    <r>
      <rPr>
        <sz val="10"/>
        <rFont val="Arial"/>
        <family val="2"/>
      </rPr>
      <t>*</t>
    </r>
  </si>
  <si>
    <r>
      <t>Australia</t>
    </r>
    <r>
      <rPr>
        <vertAlign val="superscript"/>
        <sz val="10"/>
        <rFont val="Arial"/>
        <family val="2"/>
      </rPr>
      <t>i</t>
    </r>
  </si>
  <si>
    <r>
      <t>Canada</t>
    </r>
    <r>
      <rPr>
        <vertAlign val="superscript"/>
        <sz val="10"/>
        <rFont val="Arial"/>
        <family val="2"/>
      </rPr>
      <t>b</t>
    </r>
  </si>
  <si>
    <r>
      <t>EU(15)</t>
    </r>
    <r>
      <rPr>
        <vertAlign val="superscript"/>
        <sz val="10"/>
        <rFont val="Arial"/>
        <family val="2"/>
      </rPr>
      <t>g</t>
    </r>
  </si>
  <si>
    <r>
      <t>Japan</t>
    </r>
    <r>
      <rPr>
        <vertAlign val="superscript"/>
        <sz val="10"/>
        <rFont val="Arial"/>
        <family val="2"/>
      </rPr>
      <t>a</t>
    </r>
  </si>
  <si>
    <r>
      <t>New Zealand</t>
    </r>
    <r>
      <rPr>
        <vertAlign val="superscript"/>
        <sz val="10"/>
        <rFont val="Arial"/>
        <family val="2"/>
      </rPr>
      <t>i</t>
    </r>
  </si>
  <si>
    <r>
      <t>Norway</t>
    </r>
    <r>
      <rPr>
        <vertAlign val="superscript"/>
        <sz val="10"/>
        <rFont val="Arial"/>
        <family val="2"/>
      </rPr>
      <t>a</t>
    </r>
  </si>
  <si>
    <r>
      <t>USA</t>
    </r>
    <r>
      <rPr>
        <vertAlign val="superscript"/>
        <sz val="10"/>
        <rFont val="Arial"/>
        <family val="2"/>
      </rPr>
      <t>ab</t>
    </r>
  </si>
  <si>
    <r>
      <t xml:space="preserve">89242 </t>
    </r>
    <r>
      <rPr>
        <sz val="8"/>
        <rFont val="Arial"/>
        <family val="2"/>
      </rPr>
      <t>Postcards, cards, etc…</t>
    </r>
  </si>
  <si>
    <r>
      <t xml:space="preserve">89281 </t>
    </r>
    <r>
      <rPr>
        <sz val="8"/>
        <rFont val="Arial"/>
        <family val="2"/>
      </rPr>
      <t>Paper and paperboard labels</t>
    </r>
  </si>
  <si>
    <r>
      <t>89282</t>
    </r>
    <r>
      <rPr>
        <sz val="8"/>
        <rFont val="Arial"/>
        <family val="2"/>
      </rPr>
      <t xml:space="preserve"> Plans, drawings for industrial purposes</t>
    </r>
  </si>
  <si>
    <r>
      <t xml:space="preserve">89284 </t>
    </r>
    <r>
      <rPr>
        <sz val="8"/>
        <rFont val="Arial"/>
        <family val="2"/>
      </rPr>
      <t>Printed calendars</t>
    </r>
  </si>
  <si>
    <r>
      <t xml:space="preserve">89285 </t>
    </r>
    <r>
      <rPr>
        <sz val="8"/>
        <rFont val="Arial"/>
        <family val="2"/>
      </rPr>
      <t>Music, printed or in manuscript</t>
    </r>
  </si>
  <si>
    <r>
      <t xml:space="preserve">89287 </t>
    </r>
    <r>
      <rPr>
        <sz val="8"/>
        <rFont val="Arial"/>
        <family val="2"/>
      </rPr>
      <t>Pictures, photographs, etc…</t>
    </r>
  </si>
  <si>
    <r>
      <t xml:space="preserve">89289 </t>
    </r>
    <r>
      <rPr>
        <sz val="8"/>
        <rFont val="Arial"/>
        <family val="2"/>
      </rPr>
      <t>Printed matter, n.e.s.</t>
    </r>
  </si>
  <si>
    <t>Personal</t>
  </si>
  <si>
    <t xml:space="preserve">                (in millions of US$ unless otherwise indicated)</t>
  </si>
  <si>
    <t xml:space="preserve">                Government Revenue, 1996</t>
  </si>
  <si>
    <r>
      <t>United States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</si>
  <si>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>Excludes cross-border affiliates trade.</t>
    </r>
  </si>
  <si>
    <t xml:space="preserve">Table 1: Share of Value Added, as Affected by Electronic Commerce, Early to Mid-1990s </t>
  </si>
  <si>
    <r>
      <t>1</t>
    </r>
    <r>
      <rPr>
        <sz val="9"/>
        <rFont val="Arial"/>
        <family val="2"/>
      </rPr>
      <t xml:space="preserve">Estimated at 40% of value added for total transports, storage and communication sector for Germany, Japan, Turkey and </t>
    </r>
  </si>
  <si>
    <t xml:space="preserve">              United Kingdom. </t>
  </si>
  <si>
    <r>
      <t>2</t>
    </r>
    <r>
      <rPr>
        <sz val="9"/>
        <rFont val="Arial"/>
        <family val="2"/>
      </rPr>
      <t xml:space="preserve">Estimated at 40% of total value added for finance, insurance, real estate and business services sector or 100% of subsectors </t>
    </r>
  </si>
  <si>
    <t xml:space="preserve">             financial institutions and insurance, 50% of  real estate without dwellings and 50% of  other business services </t>
  </si>
  <si>
    <r>
      <t>3</t>
    </r>
    <r>
      <rPr>
        <sz val="9"/>
        <rFont val="Arial"/>
        <family val="2"/>
      </rPr>
      <t>Estimated at 10% of total value added for ommunity, social and personal services sector or 20% of subsectors social and</t>
    </r>
  </si>
  <si>
    <t xml:space="preserve">              related community services and recreational and cultural services depending on details provided.</t>
  </si>
  <si>
    <t xml:space="preserve">             depending on details provided.</t>
  </si>
  <si>
    <r>
      <t>Table 2:World Trade in Digitizable Media Products, 1990-1996</t>
    </r>
    <r>
      <rPr>
        <b/>
        <vertAlign val="superscript"/>
        <sz val="12"/>
        <rFont val="Arial"/>
        <family val="2"/>
      </rPr>
      <t>a</t>
    </r>
  </si>
  <si>
    <t>Years</t>
  </si>
  <si>
    <t>Commodities</t>
  </si>
  <si>
    <r>
      <t xml:space="preserve"> </t>
    </r>
    <r>
      <rPr>
        <sz val="8"/>
        <rFont val="Arial"/>
        <family val="2"/>
      </rPr>
      <t>Cinematograph film 883</t>
    </r>
  </si>
  <si>
    <r>
      <t xml:space="preserve"> </t>
    </r>
    <r>
      <rPr>
        <sz val="8"/>
        <rFont val="Arial"/>
        <family val="2"/>
      </rPr>
      <t>Printed matter 8921</t>
    </r>
  </si>
  <si>
    <t xml:space="preserve"> Newspapers, journals, etc…8922</t>
  </si>
  <si>
    <r>
      <t xml:space="preserve"> A</t>
    </r>
    <r>
      <rPr>
        <sz val="8"/>
        <rFont val="Arial"/>
        <family val="2"/>
      </rPr>
      <t>dvertising material 89286</t>
    </r>
  </si>
  <si>
    <r>
      <t xml:space="preserve"> </t>
    </r>
    <r>
      <rPr>
        <sz val="8"/>
        <rFont val="Arial"/>
        <family val="2"/>
      </rPr>
      <t>Other printed matter Other 892</t>
    </r>
  </si>
  <si>
    <t xml:space="preserve"> Video games 89431</t>
  </si>
  <si>
    <t>(in % of</t>
  </si>
  <si>
    <t>total)</t>
  </si>
  <si>
    <t xml:space="preserve">(in % of </t>
  </si>
  <si>
    <t>Table 3: Estimated Tariff Revenue from Digitizable Media Products, 1996</t>
  </si>
  <si>
    <t xml:space="preserve">Table 4:  Tariff Revenue from Digitizable Media Products as a Share of </t>
  </si>
  <si>
    <t>Total Developed Countries</t>
  </si>
  <si>
    <t xml:space="preserve">Total for Developed Countries </t>
  </si>
  <si>
    <t>Table 5: Cross-Border Services Trade to a Great Extent Already in Electronic Form, Selected Sectors 1995</t>
  </si>
  <si>
    <t>TOTAL FOR SELECTED SERVICES TRADE SECTORS</t>
  </si>
  <si>
    <t xml:space="preserve">                 (in % of  sectorial value-added)</t>
  </si>
  <si>
    <r>
      <t>2</t>
    </r>
    <r>
      <rPr>
        <sz val="8"/>
        <rFont val="Arial"/>
        <family val="2"/>
      </rPr>
      <t>Financial sector includes the insurance sector.</t>
    </r>
  </si>
  <si>
    <r>
      <t>5</t>
    </r>
    <r>
      <rPr>
        <sz val="8"/>
        <rFont val="Arial"/>
        <family val="2"/>
      </rPr>
      <t>Estimated at 40% of total value added for total transport, storage and communications sector for Germany, Turkey and the United Kingdom.</t>
    </r>
  </si>
  <si>
    <r>
      <t>6</t>
    </r>
    <r>
      <rPr>
        <sz val="8"/>
        <rFont val="Arial"/>
        <family val="2"/>
      </rPr>
      <t>Classification between insurance and other financial services may not be fully consistant between the IMF's Balance of Payments and OECD's National Accounts.</t>
    </r>
  </si>
  <si>
    <t xml:space="preserve"> Recorded magnetic tapes 8986*</t>
  </si>
  <si>
    <t xml:space="preserve"> Other recorded media 8987*</t>
  </si>
  <si>
    <r>
      <t xml:space="preserve">                   </t>
    </r>
    <r>
      <rPr>
        <sz val="10"/>
        <rFont val="Arial"/>
        <family val="2"/>
      </rPr>
      <t>imports</t>
    </r>
  </si>
  <si>
    <t xml:space="preserve">     exports</t>
  </si>
  <si>
    <t xml:space="preserve">       exports</t>
  </si>
  <si>
    <t xml:space="preserve">Packaged software could therefore be included under either or both SITC codes. </t>
  </si>
  <si>
    <t>Magnetic tapes recorded*</t>
  </si>
  <si>
    <t>Gramophone records*</t>
  </si>
  <si>
    <t>Recorded media, n.e.s.*</t>
  </si>
  <si>
    <t>*Including recorded software support items.</t>
  </si>
  <si>
    <t xml:space="preserve">*Recorded software support items have been reported by countries under both SITC codes 8986 and 8987 without further precision.  </t>
  </si>
  <si>
    <r>
      <t>Source</t>
    </r>
    <r>
      <rPr>
        <sz val="8"/>
        <rFont val="Arial"/>
        <family val="2"/>
      </rPr>
      <t>:Balance of Payments Statistics, IMF</t>
    </r>
  </si>
  <si>
    <t>(in % of GDP)</t>
  </si>
  <si>
    <r>
      <t xml:space="preserve">(CD, CD-ROMs, discs, etc..) </t>
    </r>
    <r>
      <rPr>
        <sz val="10"/>
        <rFont val="Arial"/>
        <family val="2"/>
      </rPr>
      <t>imports</t>
    </r>
  </si>
  <si>
    <r>
      <t>Finland</t>
    </r>
    <r>
      <rPr>
        <vertAlign val="superscript"/>
        <sz val="10"/>
        <rFont val="Arial"/>
        <family val="2"/>
      </rPr>
      <t>2</t>
    </r>
  </si>
  <si>
    <r>
      <t>Spain</t>
    </r>
    <r>
      <rPr>
        <vertAlign val="superscript"/>
        <sz val="10"/>
        <rFont val="Arial"/>
        <family val="2"/>
      </rPr>
      <t>3</t>
    </r>
  </si>
  <si>
    <r>
      <t>Sweden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</si>
  <si>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>Comparable data not available for cross-border trade.</t>
    </r>
  </si>
  <si>
    <r>
      <t>2</t>
    </r>
    <r>
      <rPr>
        <sz val="8"/>
        <rFont val="Arial"/>
        <family val="2"/>
      </rPr>
      <t>1995 instead of 1994.</t>
    </r>
  </si>
  <si>
    <r>
      <t>3</t>
    </r>
    <r>
      <rPr>
        <sz val="8"/>
        <rFont val="Arial"/>
        <family val="2"/>
      </rPr>
      <t>1992 instead of 1994.</t>
    </r>
  </si>
  <si>
    <r>
      <t>1</t>
    </r>
    <r>
      <rPr>
        <sz val="8"/>
        <rFont val="Arial"/>
        <family val="2"/>
      </rPr>
      <t>Financial institutions service sector includes the insurance service sector.</t>
    </r>
  </si>
  <si>
    <r>
      <t>Czech Rep.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</si>
  <si>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>Data for 1994 instead of 1995.</t>
    </r>
  </si>
  <si>
    <r>
      <t>2</t>
    </r>
    <r>
      <rPr>
        <sz val="8"/>
        <rFont val="Arial"/>
        <family val="2"/>
      </rPr>
      <t>Financial sector includes the Insurance sector.</t>
    </r>
  </si>
  <si>
    <r>
      <t>3</t>
    </r>
    <r>
      <rPr>
        <sz val="8"/>
        <rFont val="Arial"/>
        <family val="2"/>
      </rPr>
      <t>Data for 1996 instead of 1995.</t>
    </r>
  </si>
  <si>
    <r>
      <t>4</t>
    </r>
    <r>
      <rPr>
        <sz val="8"/>
        <rFont val="Arial"/>
        <family val="2"/>
      </rPr>
      <t>Data for 1993 instead of 1995.</t>
    </r>
  </si>
  <si>
    <r>
      <t>5</t>
    </r>
    <r>
      <rPr>
        <sz val="8"/>
        <rFont val="Arial"/>
        <family val="2"/>
      </rPr>
      <t>Estimated at 40% of total value added for total Transport, Storage and Communications sector for Germany, Turkey and the United Kingdom.</t>
    </r>
  </si>
  <si>
    <r>
      <t>6</t>
    </r>
    <r>
      <rPr>
        <sz val="8"/>
        <rFont val="Arial"/>
        <family val="2"/>
      </rPr>
      <t>Classication between Insurance and other Financial services may not be fully consistant between IMF's Balance of Payments and OECD's National Accounts.</t>
    </r>
  </si>
  <si>
    <t>Total Developing and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</si>
</sst>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E+00;\롧"/>
    <numFmt numFmtId="183" formatCode="0.0E+00;\롧"/>
    <numFmt numFmtId="184" formatCode="00000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 * #,##0.000000_ ;_ * \-#,##0.000000_ ;_ * &quot;-&quot;??_ ;_ @_ "/>
    <numFmt numFmtId="189" formatCode="0.00000000000%"/>
    <numFmt numFmtId="190" formatCode="0.00000000000"/>
    <numFmt numFmtId="191" formatCode="0.000000000000"/>
    <numFmt numFmtId="192" formatCode="0.000000000000%"/>
    <numFmt numFmtId="193" formatCode="0.0000000000000%"/>
    <numFmt numFmtId="194" formatCode="0.000E+00;\῔"/>
    <numFmt numFmtId="195" formatCode="0.000E+00;\ด"/>
    <numFmt numFmtId="196" formatCode="0.00E+00;\ด"/>
    <numFmt numFmtId="197" formatCode="0.0E+00;\ด"/>
    <numFmt numFmtId="198" formatCode="0E+00;\ด"/>
    <numFmt numFmtId="199" formatCode="0.0000E+00"/>
  </numFmts>
  <fonts count="26">
    <font>
      <sz val="10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2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9" fontId="3" fillId="0" borderId="0" xfId="21" applyNumberFormat="1" applyFont="1" applyFill="1" applyBorder="1" applyAlignment="1">
      <alignment/>
    </xf>
    <xf numFmtId="1" fontId="3" fillId="0" borderId="0" xfId="21" applyNumberFormat="1" applyFont="1" applyFill="1" applyBorder="1" applyAlignment="1">
      <alignment/>
    </xf>
    <xf numFmtId="174" fontId="3" fillId="0" borderId="0" xfId="21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10" fontId="4" fillId="0" borderId="0" xfId="21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10" xfId="0" applyNumberFormat="1" applyBorder="1" applyAlignment="1">
      <alignment/>
    </xf>
    <xf numFmtId="0" fontId="0" fillId="2" borderId="8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73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right"/>
    </xf>
    <xf numFmtId="0" fontId="4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5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4" xfId="0" applyFont="1" applyBorder="1" applyAlignment="1">
      <alignment horizontal="center"/>
    </xf>
    <xf numFmtId="173" fontId="0" fillId="0" borderId="0" xfId="21" applyNumberFormat="1" applyBorder="1" applyAlignment="1">
      <alignment/>
    </xf>
    <xf numFmtId="173" fontId="0" fillId="0" borderId="0" xfId="21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0" fontId="0" fillId="0" borderId="26" xfId="21" applyNumberFormat="1" applyBorder="1" applyAlignment="1">
      <alignment/>
    </xf>
    <xf numFmtId="0" fontId="6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6" xfId="0" applyBorder="1" applyAlignment="1">
      <alignment/>
    </xf>
    <xf numFmtId="1" fontId="0" fillId="0" borderId="26" xfId="21" applyNumberFormat="1" applyBorder="1" applyAlignment="1">
      <alignment/>
    </xf>
    <xf numFmtId="0" fontId="0" fillId="0" borderId="37" xfId="0" applyBorder="1" applyAlignment="1">
      <alignment/>
    </xf>
    <xf numFmtId="1" fontId="0" fillId="0" borderId="26" xfId="0" applyNumberFormat="1" applyBorder="1" applyAlignment="1">
      <alignment/>
    </xf>
    <xf numFmtId="1" fontId="0" fillId="0" borderId="26" xfId="21" applyNumberFormat="1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25" xfId="0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5" xfId="0" applyBorder="1" applyAlignment="1" quotePrefix="1">
      <alignment horizontal="center"/>
    </xf>
    <xf numFmtId="0" fontId="4" fillId="0" borderId="4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8" xfId="0" applyFont="1" applyBorder="1" applyAlignment="1">
      <alignment/>
    </xf>
    <xf numFmtId="1" fontId="4" fillId="0" borderId="26" xfId="21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10" fontId="0" fillId="0" borderId="26" xfId="21" applyNumberFormat="1" applyFont="1" applyBorder="1" applyAlignment="1">
      <alignment horizontal="right"/>
    </xf>
    <xf numFmtId="10" fontId="4" fillId="0" borderId="26" xfId="21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Border="1" applyAlignment="1">
      <alignment horizontal="left"/>
    </xf>
    <xf numFmtId="10" fontId="4" fillId="0" borderId="25" xfId="21" applyNumberFormat="1" applyFont="1" applyBorder="1" applyAlignment="1">
      <alignment/>
    </xf>
    <xf numFmtId="10" fontId="4" fillId="0" borderId="38" xfId="21" applyNumberFormat="1" applyFont="1" applyBorder="1" applyAlignment="1">
      <alignment/>
    </xf>
    <xf numFmtId="10" fontId="4" fillId="0" borderId="29" xfId="21" applyNumberFormat="1" applyFont="1" applyBorder="1" applyAlignment="1">
      <alignment/>
    </xf>
    <xf numFmtId="10" fontId="4" fillId="0" borderId="40" xfId="21" applyNumberFormat="1" applyFont="1" applyBorder="1" applyAlignment="1">
      <alignment/>
    </xf>
    <xf numFmtId="10" fontId="4" fillId="0" borderId="39" xfId="21" applyNumberFormat="1" applyFont="1" applyBorder="1" applyAlignment="1">
      <alignment/>
    </xf>
    <xf numFmtId="10" fontId="4" fillId="0" borderId="24" xfId="21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" fontId="0" fillId="0" borderId="0" xfId="21" applyNumberFormat="1" applyFont="1" applyBorder="1" applyAlignment="1">
      <alignment horizontal="right"/>
    </xf>
    <xf numFmtId="1" fontId="0" fillId="0" borderId="0" xfId="21" applyNumberFormat="1" applyBorder="1" applyAlignment="1">
      <alignment horizontal="right"/>
    </xf>
    <xf numFmtId="1" fontId="0" fillId="0" borderId="0" xfId="21" applyNumberForma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21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0" fontId="3" fillId="0" borderId="0" xfId="21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3" fontId="0" fillId="0" borderId="4" xfId="21" applyNumberFormat="1" applyFont="1" applyBorder="1" applyAlignment="1">
      <alignment horizontal="right"/>
    </xf>
    <xf numFmtId="173" fontId="0" fillId="0" borderId="41" xfId="2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right"/>
    </xf>
    <xf numFmtId="173" fontId="4" fillId="0" borderId="0" xfId="21" applyNumberFormat="1" applyFont="1" applyFill="1" applyBorder="1" applyAlignment="1">
      <alignment horizontal="center"/>
    </xf>
    <xf numFmtId="0" fontId="0" fillId="0" borderId="0" xfId="21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0" fillId="0" borderId="0" xfId="21" applyNumberFormat="1" applyFont="1" applyFill="1" applyBorder="1" applyAlignment="1">
      <alignment horizontal="right"/>
    </xf>
    <xf numFmtId="0" fontId="0" fillId="0" borderId="0" xfId="21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42" xfId="0" applyFont="1" applyBorder="1" applyAlignment="1">
      <alignment horizontal="center"/>
    </xf>
    <xf numFmtId="9" fontId="18" fillId="0" borderId="43" xfId="21" applyFont="1" applyBorder="1" applyAlignment="1">
      <alignment/>
    </xf>
    <xf numFmtId="9" fontId="18" fillId="0" borderId="20" xfId="21" applyFont="1" applyBorder="1" applyAlignment="1">
      <alignment/>
    </xf>
    <xf numFmtId="9" fontId="18" fillId="0" borderId="44" xfId="21" applyFont="1" applyBorder="1" applyAlignment="1">
      <alignment/>
    </xf>
    <xf numFmtId="0" fontId="18" fillId="0" borderId="43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2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1" fontId="0" fillId="0" borderId="22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73" fontId="0" fillId="0" borderId="0" xfId="21" applyNumberFormat="1" applyFont="1" applyBorder="1" applyAlignment="1">
      <alignment horizontal="right"/>
    </xf>
    <xf numFmtId="10" fontId="0" fillId="0" borderId="0" xfId="21" applyNumberFormat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" fillId="0" borderId="12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45" xfId="21" applyNumberFormat="1" applyFill="1" applyBorder="1" applyAlignment="1">
      <alignment horizontal="center"/>
    </xf>
    <xf numFmtId="0" fontId="0" fillId="0" borderId="46" xfId="21" applyNumberFormat="1" applyFill="1" applyBorder="1" applyAlignment="1">
      <alignment horizontal="center"/>
    </xf>
    <xf numFmtId="0" fontId="0" fillId="0" borderId="47" xfId="21" applyNumberFormat="1" applyFill="1" applyBorder="1" applyAlignment="1">
      <alignment horizontal="center"/>
    </xf>
    <xf numFmtId="0" fontId="0" fillId="0" borderId="48" xfId="21" applyNumberFormat="1" applyFill="1" applyBorder="1" applyAlignment="1">
      <alignment horizontal="center"/>
    </xf>
    <xf numFmtId="0" fontId="0" fillId="0" borderId="14" xfId="21" applyNumberFormat="1" applyFill="1" applyBorder="1" applyAlignment="1">
      <alignment horizontal="center"/>
    </xf>
    <xf numFmtId="0" fontId="4" fillId="0" borderId="45" xfId="21" applyNumberFormat="1" applyFont="1" applyFill="1" applyBorder="1" applyAlignment="1">
      <alignment horizontal="center"/>
    </xf>
    <xf numFmtId="0" fontId="4" fillId="0" borderId="17" xfId="21" applyNumberFormat="1" applyFont="1" applyFill="1" applyBorder="1" applyAlignment="1">
      <alignment horizontal="center"/>
    </xf>
    <xf numFmtId="0" fontId="4" fillId="0" borderId="26" xfId="21" applyNumberFormat="1" applyFont="1" applyFill="1" applyBorder="1" applyAlignment="1">
      <alignment horizontal="center"/>
    </xf>
    <xf numFmtId="0" fontId="4" fillId="0" borderId="49" xfId="21" applyNumberFormat="1" applyFont="1" applyFill="1" applyBorder="1" applyAlignment="1">
      <alignment horizontal="center"/>
    </xf>
    <xf numFmtId="0" fontId="4" fillId="0" borderId="50" xfId="21" applyNumberFormat="1" applyFont="1" applyFill="1" applyBorder="1" applyAlignment="1">
      <alignment horizontal="center"/>
    </xf>
    <xf numFmtId="0" fontId="4" fillId="0" borderId="51" xfId="21" applyNumberFormat="1" applyFont="1" applyFill="1" applyBorder="1" applyAlignment="1">
      <alignment horizontal="center"/>
    </xf>
    <xf numFmtId="0" fontId="0" fillId="0" borderId="26" xfId="21" applyNumberFormat="1" applyFill="1" applyBorder="1" applyAlignment="1">
      <alignment horizontal="center"/>
    </xf>
    <xf numFmtId="0" fontId="4" fillId="0" borderId="25" xfId="2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3" fontId="0" fillId="0" borderId="0" xfId="21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73" fontId="4" fillId="0" borderId="0" xfId="21" applyNumberFormat="1" applyFont="1" applyFill="1" applyBorder="1" applyAlignment="1">
      <alignment/>
    </xf>
    <xf numFmtId="172" fontId="0" fillId="0" borderId="0" xfId="21" applyNumberFormat="1" applyFill="1" applyBorder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172" fontId="4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shrinkToFit="1"/>
    </xf>
    <xf numFmtId="0" fontId="4" fillId="0" borderId="47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22" xfId="0" applyNumberFormat="1" applyFont="1" applyFill="1" applyBorder="1" applyAlignment="1">
      <alignment horizontal="left"/>
    </xf>
    <xf numFmtId="172" fontId="4" fillId="0" borderId="20" xfId="0" applyNumberFormat="1" applyFont="1" applyFill="1" applyBorder="1" applyAlignment="1">
      <alignment horizontal="left"/>
    </xf>
    <xf numFmtId="172" fontId="4" fillId="0" borderId="16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4" xfId="21" applyNumberFormat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0" fontId="0" fillId="0" borderId="52" xfId="21" applyNumberFormat="1" applyBorder="1" applyAlignment="1">
      <alignment/>
    </xf>
    <xf numFmtId="0" fontId="3" fillId="0" borderId="53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22" xfId="21" applyNumberFormat="1" applyFill="1" applyBorder="1" applyAlignment="1">
      <alignment/>
    </xf>
    <xf numFmtId="0" fontId="0" fillId="0" borderId="0" xfId="21" applyNumberFormat="1" applyFill="1" applyBorder="1" applyAlignment="1">
      <alignment/>
    </xf>
    <xf numFmtId="0" fontId="0" fillId="0" borderId="20" xfId="21" applyNumberFormat="1" applyFill="1" applyBorder="1" applyAlignment="1">
      <alignment/>
    </xf>
    <xf numFmtId="0" fontId="0" fillId="0" borderId="2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21" xfId="21" applyNumberFormat="1" applyFont="1" applyFill="1" applyBorder="1" applyAlignment="1">
      <alignment/>
    </xf>
    <xf numFmtId="0" fontId="4" fillId="0" borderId="22" xfId="21" applyNumberFormat="1" applyFont="1" applyFill="1" applyBorder="1" applyAlignment="1">
      <alignment/>
    </xf>
    <xf numFmtId="0" fontId="3" fillId="0" borderId="21" xfId="21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72" fontId="0" fillId="0" borderId="0" xfId="21" applyNumberFormat="1" applyFill="1" applyBorder="1" applyAlignment="1">
      <alignment/>
    </xf>
    <xf numFmtId="2" fontId="0" fillId="0" borderId="0" xfId="21" applyNumberForma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21" applyNumberFormat="1" applyBorder="1" applyAlignment="1">
      <alignment horizontal="right"/>
    </xf>
    <xf numFmtId="0" fontId="4" fillId="0" borderId="3" xfId="21" applyNumberFormat="1" applyFont="1" applyBorder="1" applyAlignment="1">
      <alignment/>
    </xf>
    <xf numFmtId="0" fontId="0" fillId="0" borderId="0" xfId="21" applyNumberFormat="1" applyBorder="1" applyAlignment="1">
      <alignment horizontal="right"/>
    </xf>
    <xf numFmtId="0" fontId="4" fillId="0" borderId="0" xfId="21" applyNumberFormat="1" applyFont="1" applyBorder="1" applyAlignment="1">
      <alignment/>
    </xf>
    <xf numFmtId="0" fontId="0" fillId="0" borderId="0" xfId="21" applyNumberFormat="1" applyFont="1" applyBorder="1" applyAlignment="1">
      <alignment horizontal="right"/>
    </xf>
    <xf numFmtId="0" fontId="3" fillId="0" borderId="12" xfId="21" applyNumberFormat="1" applyFont="1" applyBorder="1" applyAlignment="1">
      <alignment horizontal="right"/>
    </xf>
    <xf numFmtId="0" fontId="3" fillId="0" borderId="12" xfId="21" applyNumberFormat="1" applyFont="1" applyBorder="1" applyAlignment="1">
      <alignment/>
    </xf>
    <xf numFmtId="172" fontId="0" fillId="0" borderId="3" xfId="21" applyNumberFormat="1" applyBorder="1" applyAlignment="1">
      <alignment horizontal="right"/>
    </xf>
    <xf numFmtId="172" fontId="0" fillId="0" borderId="0" xfId="21" applyNumberFormat="1" applyBorder="1" applyAlignment="1">
      <alignment horizontal="right"/>
    </xf>
    <xf numFmtId="172" fontId="0" fillId="0" borderId="0" xfId="21" applyNumberFormat="1" applyFont="1" applyBorder="1" applyAlignment="1">
      <alignment horizontal="right"/>
    </xf>
    <xf numFmtId="0" fontId="3" fillId="0" borderId="0" xfId="21" applyNumberFormat="1" applyFont="1" applyBorder="1" applyAlignment="1">
      <alignment horizontal="right"/>
    </xf>
    <xf numFmtId="172" fontId="0" fillId="0" borderId="3" xfId="21" applyNumberFormat="1" applyFont="1" applyBorder="1" applyAlignment="1">
      <alignment/>
    </xf>
    <xf numFmtId="172" fontId="0" fillId="0" borderId="0" xfId="21" applyNumberFormat="1" applyFont="1" applyBorder="1" applyAlignment="1">
      <alignment/>
    </xf>
    <xf numFmtId="0" fontId="0" fillId="0" borderId="0" xfId="21" applyNumberFormat="1" applyFont="1" applyBorder="1" applyAlignment="1">
      <alignment/>
    </xf>
    <xf numFmtId="173" fontId="0" fillId="0" borderId="0" xfId="21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21" applyNumberForma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0" fillId="0" borderId="11" xfId="21" applyNumberFormat="1" applyFont="1" applyBorder="1" applyAlignment="1">
      <alignment horizontal="center"/>
    </xf>
    <xf numFmtId="0" fontId="18" fillId="0" borderId="3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23" fillId="0" borderId="0" xfId="0" applyFont="1" applyBorder="1" applyAlignment="1">
      <alignment/>
    </xf>
    <xf numFmtId="172" fontId="0" fillId="0" borderId="11" xfId="21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0" fillId="0" borderId="0" xfId="21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0" fontId="0" fillId="0" borderId="0" xfId="21" applyNumberFormat="1" applyFont="1" applyBorder="1" applyAlignment="1">
      <alignment horizontal="right"/>
    </xf>
    <xf numFmtId="10" fontId="4" fillId="0" borderId="0" xfId="21" applyNumberFormat="1" applyFont="1" applyBorder="1" applyAlignment="1">
      <alignment/>
    </xf>
    <xf numFmtId="173" fontId="0" fillId="0" borderId="0" xfId="21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0" fontId="4" fillId="0" borderId="0" xfId="21" applyNumberFormat="1" applyFont="1" applyBorder="1" applyAlignment="1">
      <alignment horizontal="right"/>
    </xf>
    <xf numFmtId="0" fontId="0" fillId="0" borderId="0" xfId="21" applyNumberFormat="1" applyBorder="1" applyAlignment="1">
      <alignment/>
    </xf>
    <xf numFmtId="0" fontId="4" fillId="0" borderId="0" xfId="21" applyNumberFormat="1" applyFont="1" applyBorder="1" applyAlignment="1">
      <alignment horizontal="right"/>
    </xf>
    <xf numFmtId="172" fontId="0" fillId="0" borderId="0" xfId="21" applyNumberFormat="1" applyBorder="1" applyAlignment="1">
      <alignment/>
    </xf>
    <xf numFmtId="172" fontId="4" fillId="0" borderId="0" xfId="21" applyNumberFormat="1" applyFont="1" applyBorder="1" applyAlignment="1">
      <alignment horizontal="right"/>
    </xf>
    <xf numFmtId="172" fontId="4" fillId="0" borderId="0" xfId="21" applyNumberFormat="1" applyFont="1" applyBorder="1" applyAlignment="1">
      <alignment/>
    </xf>
    <xf numFmtId="172" fontId="4" fillId="0" borderId="11" xfId="21" applyNumberFormat="1" applyFont="1" applyBorder="1" applyAlignment="1">
      <alignment horizontal="right"/>
    </xf>
    <xf numFmtId="172" fontId="4" fillId="0" borderId="11" xfId="21" applyNumberFormat="1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2" fontId="3" fillId="0" borderId="0" xfId="21" applyNumberFormat="1" applyFont="1" applyFill="1" applyBorder="1" applyAlignment="1">
      <alignment/>
    </xf>
    <xf numFmtId="9" fontId="3" fillId="0" borderId="0" xfId="21" applyFont="1" applyFill="1" applyBorder="1" applyAlignment="1">
      <alignment/>
    </xf>
    <xf numFmtId="0" fontId="0" fillId="0" borderId="36" xfId="21" applyNumberFormat="1" applyFont="1" applyFill="1" applyBorder="1" applyAlignment="1">
      <alignment horizontal="right"/>
    </xf>
    <xf numFmtId="0" fontId="0" fillId="0" borderId="36" xfId="21" applyNumberFormat="1" applyFill="1" applyBorder="1" applyAlignment="1">
      <alignment horizontal="right"/>
    </xf>
    <xf numFmtId="0" fontId="0" fillId="0" borderId="36" xfId="0" applyNumberFormat="1" applyBorder="1" applyAlignment="1">
      <alignment/>
    </xf>
    <xf numFmtId="0" fontId="3" fillId="0" borderId="55" xfId="21" applyNumberFormat="1" applyFont="1" applyFill="1" applyBorder="1" applyAlignment="1">
      <alignment horizontal="right"/>
    </xf>
    <xf numFmtId="172" fontId="0" fillId="0" borderId="0" xfId="21" applyNumberFormat="1" applyFont="1" applyFill="1" applyBorder="1" applyAlignment="1">
      <alignment horizontal="right"/>
    </xf>
    <xf numFmtId="172" fontId="3" fillId="0" borderId="0" xfId="21" applyNumberFormat="1" applyFont="1" applyFill="1" applyBorder="1" applyAlignment="1">
      <alignment horizontal="right"/>
    </xf>
    <xf numFmtId="0" fontId="0" fillId="0" borderId="5" xfId="21" applyNumberFormat="1" applyFill="1" applyBorder="1" applyAlignment="1">
      <alignment horizontal="right"/>
    </xf>
    <xf numFmtId="0" fontId="0" fillId="0" borderId="5" xfId="0" applyNumberFormat="1" applyBorder="1" applyAlignment="1">
      <alignment/>
    </xf>
    <xf numFmtId="0" fontId="3" fillId="0" borderId="56" xfId="21" applyNumberFormat="1" applyFont="1" applyFill="1" applyBorder="1" applyAlignment="1">
      <alignment horizontal="right"/>
    </xf>
    <xf numFmtId="172" fontId="0" fillId="0" borderId="3" xfId="21" applyNumberFormat="1" applyFill="1" applyBorder="1" applyAlignment="1">
      <alignment horizontal="right"/>
    </xf>
    <xf numFmtId="0" fontId="0" fillId="0" borderId="3" xfId="21" applyNumberFormat="1" applyFill="1" applyBorder="1" applyAlignment="1">
      <alignment horizontal="right"/>
    </xf>
    <xf numFmtId="172" fontId="3" fillId="0" borderId="11" xfId="21" applyNumberFormat="1" applyFont="1" applyFill="1" applyBorder="1" applyAlignment="1">
      <alignment horizontal="right"/>
    </xf>
    <xf numFmtId="1" fontId="3" fillId="0" borderId="11" xfId="2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172" fontId="0" fillId="0" borderId="0" xfId="21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3" fontId="0" fillId="0" borderId="0" xfId="21" applyNumberFormat="1" applyFont="1" applyBorder="1" applyAlignment="1">
      <alignment/>
    </xf>
    <xf numFmtId="0" fontId="0" fillId="0" borderId="0" xfId="21" applyNumberFormat="1" applyFont="1" applyBorder="1" applyAlignment="1">
      <alignment horizontal="right"/>
    </xf>
    <xf numFmtId="173" fontId="0" fillId="0" borderId="11" xfId="21" applyNumberFormat="1" applyFont="1" applyBorder="1" applyAlignment="1">
      <alignment/>
    </xf>
    <xf numFmtId="0" fontId="0" fillId="0" borderId="11" xfId="21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72" fontId="0" fillId="0" borderId="59" xfId="0" applyNumberFormat="1" applyFill="1" applyBorder="1" applyAlignment="1">
      <alignment horizontal="center"/>
    </xf>
    <xf numFmtId="173" fontId="0" fillId="0" borderId="59" xfId="21" applyNumberFormat="1" applyFill="1" applyBorder="1" applyAlignment="1">
      <alignment horizontal="center"/>
    </xf>
    <xf numFmtId="172" fontId="0" fillId="0" borderId="59" xfId="0" applyNumberFormat="1" applyFill="1" applyBorder="1" applyAlignment="1">
      <alignment/>
    </xf>
    <xf numFmtId="0" fontId="23" fillId="0" borderId="0" xfId="0" applyFont="1" applyBorder="1" applyAlignment="1">
      <alignment horizontal="center"/>
    </xf>
    <xf numFmtId="172" fontId="0" fillId="0" borderId="20" xfId="21" applyNumberFormat="1" applyFill="1" applyBorder="1" applyAlignment="1">
      <alignment horizontal="center"/>
    </xf>
    <xf numFmtId="0" fontId="0" fillId="0" borderId="20" xfId="21" applyNumberFormat="1" applyFill="1" applyBorder="1" applyAlignment="1">
      <alignment horizontal="center"/>
    </xf>
    <xf numFmtId="172" fontId="0" fillId="0" borderId="60" xfId="21" applyNumberFormat="1" applyFill="1" applyBorder="1" applyAlignment="1">
      <alignment horizontal="center"/>
    </xf>
    <xf numFmtId="172" fontId="4" fillId="0" borderId="20" xfId="21" applyNumberFormat="1" applyFont="1" applyFill="1" applyBorder="1" applyAlignment="1">
      <alignment horizontal="center"/>
    </xf>
    <xf numFmtId="173" fontId="0" fillId="0" borderId="20" xfId="0" applyNumberFormat="1" applyFill="1" applyBorder="1" applyAlignment="1">
      <alignment/>
    </xf>
    <xf numFmtId="173" fontId="0" fillId="0" borderId="0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2" fontId="0" fillId="0" borderId="4" xfId="21" applyNumberFormat="1" applyFont="1" applyBorder="1" applyAlignment="1">
      <alignment/>
    </xf>
    <xf numFmtId="172" fontId="4" fillId="0" borderId="10" xfId="21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21" applyNumberFormat="1" applyFont="1" applyBorder="1" applyAlignment="1">
      <alignment/>
    </xf>
    <xf numFmtId="172" fontId="4" fillId="0" borderId="8" xfId="21" applyNumberFormat="1" applyFont="1" applyBorder="1" applyAlignment="1">
      <alignment/>
    </xf>
    <xf numFmtId="173" fontId="0" fillId="0" borderId="1" xfId="21" applyNumberFormat="1" applyFont="1" applyBorder="1" applyAlignment="1">
      <alignment/>
    </xf>
    <xf numFmtId="173" fontId="0" fillId="0" borderId="8" xfId="21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0" fillId="0" borderId="4" xfId="21" applyNumberFormat="1" applyFont="1" applyBorder="1" applyAlignment="1">
      <alignment horizontal="right"/>
    </xf>
    <xf numFmtId="172" fontId="4" fillId="0" borderId="10" xfId="21" applyNumberFormat="1" applyFont="1" applyBorder="1" applyAlignment="1">
      <alignment horizontal="right"/>
    </xf>
    <xf numFmtId="172" fontId="0" fillId="0" borderId="1" xfId="21" applyNumberFormat="1" applyFont="1" applyBorder="1" applyAlignment="1">
      <alignment horizontal="right"/>
    </xf>
    <xf numFmtId="172" fontId="4" fillId="0" borderId="8" xfId="21" applyNumberFormat="1" applyFont="1" applyBorder="1" applyAlignment="1">
      <alignment horizontal="right"/>
    </xf>
    <xf numFmtId="172" fontId="0" fillId="0" borderId="41" xfId="21" applyNumberFormat="1" applyFont="1" applyBorder="1" applyAlignment="1">
      <alignment/>
    </xf>
    <xf numFmtId="172" fontId="0" fillId="0" borderId="61" xfId="21" applyNumberFormat="1" applyFont="1" applyBorder="1" applyAlignment="1">
      <alignment/>
    </xf>
    <xf numFmtId="172" fontId="0" fillId="0" borderId="59" xfId="21" applyNumberFormat="1" applyFont="1" applyBorder="1" applyAlignment="1">
      <alignment/>
    </xf>
    <xf numFmtId="173" fontId="0" fillId="0" borderId="59" xfId="21" applyNumberFormat="1" applyFont="1" applyBorder="1" applyAlignment="1">
      <alignment/>
    </xf>
    <xf numFmtId="173" fontId="0" fillId="0" borderId="61" xfId="21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59" xfId="21" applyNumberFormat="1" applyFont="1" applyBorder="1" applyAlignment="1">
      <alignment horizontal="right"/>
    </xf>
    <xf numFmtId="172" fontId="0" fillId="0" borderId="41" xfId="21" applyNumberFormat="1" applyFont="1" applyBorder="1" applyAlignment="1">
      <alignment horizontal="right"/>
    </xf>
    <xf numFmtId="172" fontId="0" fillId="0" borderId="61" xfId="21" applyNumberFormat="1" applyFont="1" applyBorder="1" applyAlignment="1">
      <alignment horizontal="right"/>
    </xf>
    <xf numFmtId="172" fontId="0" fillId="0" borderId="59" xfId="0" applyNumberFormat="1" applyFont="1" applyBorder="1" applyAlignment="1">
      <alignment horizontal="right"/>
    </xf>
    <xf numFmtId="172" fontId="0" fillId="0" borderId="4" xfId="21" applyNumberFormat="1" applyBorder="1" applyAlignment="1">
      <alignment/>
    </xf>
    <xf numFmtId="173" fontId="0" fillId="0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4" fillId="0" borderId="62" xfId="0" applyNumberFormat="1" applyFont="1" applyFill="1" applyBorder="1" applyAlignment="1">
      <alignment horizontal="right"/>
    </xf>
    <xf numFmtId="173" fontId="4" fillId="0" borderId="63" xfId="0" applyNumberFormat="1" applyFont="1" applyFill="1" applyBorder="1" applyAlignment="1">
      <alignment horizontal="right"/>
    </xf>
    <xf numFmtId="173" fontId="4" fillId="0" borderId="64" xfId="0" applyNumberFormat="1" applyFont="1" applyFill="1" applyBorder="1" applyAlignment="1">
      <alignment horizontal="right"/>
    </xf>
    <xf numFmtId="1" fontId="4" fillId="0" borderId="63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/>
    </xf>
    <xf numFmtId="172" fontId="3" fillId="0" borderId="11" xfId="21" applyNumberFormat="1" applyFont="1" applyFill="1" applyBorder="1" applyAlignment="1">
      <alignment/>
    </xf>
    <xf numFmtId="0" fontId="3" fillId="0" borderId="11" xfId="21" applyNumberFormat="1" applyFont="1" applyFill="1" applyBorder="1" applyAlignment="1">
      <alignment/>
    </xf>
    <xf numFmtId="2" fontId="3" fillId="0" borderId="11" xfId="21" applyNumberFormat="1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172" fontId="4" fillId="0" borderId="3" xfId="21" applyNumberFormat="1" applyFont="1" applyFill="1" applyBorder="1" applyAlignment="1">
      <alignment/>
    </xf>
    <xf numFmtId="0" fontId="4" fillId="0" borderId="3" xfId="21" applyNumberFormat="1" applyFont="1" applyFill="1" applyBorder="1" applyAlignment="1">
      <alignment/>
    </xf>
    <xf numFmtId="2" fontId="4" fillId="0" borderId="3" xfId="21" applyNumberFormat="1" applyFont="1" applyFill="1" applyBorder="1" applyAlignment="1">
      <alignment/>
    </xf>
    <xf numFmtId="172" fontId="4" fillId="0" borderId="59" xfId="0" applyNumberFormat="1" applyFont="1" applyFill="1" applyBorder="1" applyAlignment="1">
      <alignment/>
    </xf>
    <xf numFmtId="172" fontId="4" fillId="0" borderId="59" xfId="21" applyNumberFormat="1" applyFont="1" applyFill="1" applyBorder="1" applyAlignment="1">
      <alignment/>
    </xf>
    <xf numFmtId="0" fontId="4" fillId="0" borderId="59" xfId="0" applyFont="1" applyBorder="1" applyAlignment="1">
      <alignment/>
    </xf>
    <xf numFmtId="0" fontId="4" fillId="0" borderId="59" xfId="21" applyNumberFormat="1" applyFont="1" applyFill="1" applyBorder="1" applyAlignment="1">
      <alignment/>
    </xf>
    <xf numFmtId="2" fontId="4" fillId="0" borderId="59" xfId="21" applyNumberFormat="1" applyFont="1" applyFill="1" applyBorder="1" applyAlignment="1">
      <alignment/>
    </xf>
    <xf numFmtId="172" fontId="4" fillId="0" borderId="63" xfId="0" applyNumberFormat="1" applyFont="1" applyFill="1" applyBorder="1" applyAlignment="1">
      <alignment/>
    </xf>
    <xf numFmtId="172" fontId="4" fillId="0" borderId="63" xfId="21" applyNumberFormat="1" applyFont="1" applyFill="1" applyBorder="1" applyAlignment="1">
      <alignment/>
    </xf>
    <xf numFmtId="0" fontId="0" fillId="0" borderId="63" xfId="0" applyBorder="1" applyAlignment="1">
      <alignment/>
    </xf>
    <xf numFmtId="0" fontId="4" fillId="0" borderId="63" xfId="21" applyNumberFormat="1" applyFont="1" applyFill="1" applyBorder="1" applyAlignment="1">
      <alignment/>
    </xf>
    <xf numFmtId="2" fontId="4" fillId="0" borderId="63" xfId="21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right"/>
    </xf>
    <xf numFmtId="172" fontId="8" fillId="0" borderId="11" xfId="0" applyNumberFormat="1" applyFont="1" applyFill="1" applyBorder="1" applyAlignment="1">
      <alignment horizontal="center"/>
    </xf>
    <xf numFmtId="172" fontId="8" fillId="0" borderId="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4" xfId="0" applyFont="1" applyBorder="1" applyAlignment="1">
      <alignment/>
    </xf>
    <xf numFmtId="172" fontId="4" fillId="0" borderId="20" xfId="21" applyNumberFormat="1" applyFont="1" applyBorder="1" applyAlignment="1">
      <alignment/>
    </xf>
    <xf numFmtId="0" fontId="0" fillId="0" borderId="41" xfId="0" applyFont="1" applyBorder="1" applyAlignment="1">
      <alignment/>
    </xf>
    <xf numFmtId="172" fontId="4" fillId="0" borderId="60" xfId="21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21" xfId="21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8" xfId="0" applyBorder="1" applyAlignment="1">
      <alignment/>
    </xf>
    <xf numFmtId="172" fontId="4" fillId="0" borderId="2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61" xfId="0" applyFill="1" applyBorder="1" applyAlignment="1">
      <alignment/>
    </xf>
    <xf numFmtId="0" fontId="4" fillId="0" borderId="4" xfId="0" applyFont="1" applyFill="1" applyBorder="1" applyAlignment="1">
      <alignment horizontal="left"/>
    </xf>
    <xf numFmtId="172" fontId="4" fillId="0" borderId="21" xfId="21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3" fontId="4" fillId="0" borderId="11" xfId="21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8" fillId="0" borderId="6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72" fontId="4" fillId="0" borderId="0" xfId="21" applyNumberFormat="1" applyFont="1" applyFill="1" applyBorder="1" applyAlignment="1">
      <alignment horizontal="right"/>
    </xf>
    <xf numFmtId="172" fontId="4" fillId="0" borderId="59" xfId="21" applyNumberFormat="1" applyFont="1" applyFill="1" applyBorder="1" applyAlignment="1">
      <alignment horizontal="right"/>
    </xf>
    <xf numFmtId="172" fontId="4" fillId="0" borderId="11" xfId="2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" fontId="4" fillId="0" borderId="4" xfId="21" applyNumberFormat="1" applyFont="1" applyFill="1" applyBorder="1" applyAlignment="1">
      <alignment horizontal="center"/>
    </xf>
    <xf numFmtId="1" fontId="4" fillId="0" borderId="10" xfId="2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5" fillId="0" borderId="4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4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0" fillId="0" borderId="64" xfId="0" applyBorder="1" applyAlignment="1">
      <alignment/>
    </xf>
    <xf numFmtId="0" fontId="4" fillId="0" borderId="6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right"/>
    </xf>
    <xf numFmtId="173" fontId="3" fillId="0" borderId="11" xfId="0" applyNumberFormat="1" applyFont="1" applyFill="1" applyBorder="1" applyAlignment="1">
      <alignment horizontal="right"/>
    </xf>
    <xf numFmtId="173" fontId="3" fillId="0" borderId="8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64" xfId="0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1" xfId="0" applyFont="1" applyFill="1" applyBorder="1" applyAlignment="1">
      <alignment horizontal="left"/>
    </xf>
    <xf numFmtId="0" fontId="4" fillId="0" borderId="6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61" xfId="0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" xfId="21" applyNumberFormat="1" applyBorder="1" applyAlignment="1">
      <alignment horizontal="right"/>
    </xf>
    <xf numFmtId="0" fontId="0" fillId="0" borderId="6" xfId="21" applyNumberFormat="1" applyBorder="1" applyAlignment="1">
      <alignment horizontal="right"/>
    </xf>
    <xf numFmtId="0" fontId="0" fillId="0" borderId="4" xfId="21" applyNumberFormat="1" applyBorder="1" applyAlignment="1">
      <alignment horizontal="right"/>
    </xf>
    <xf numFmtId="0" fontId="0" fillId="0" borderId="1" xfId="21" applyNumberFormat="1" applyBorder="1" applyAlignment="1">
      <alignment horizontal="right"/>
    </xf>
    <xf numFmtId="172" fontId="0" fillId="0" borderId="4" xfId="21" applyNumberFormat="1" applyFont="1" applyBorder="1" applyAlignment="1">
      <alignment horizontal="right"/>
    </xf>
    <xf numFmtId="172" fontId="0" fillId="0" borderId="1" xfId="21" applyNumberFormat="1" applyFont="1" applyBorder="1" applyAlignment="1">
      <alignment horizontal="right"/>
    </xf>
    <xf numFmtId="172" fontId="0" fillId="0" borderId="4" xfId="21" applyNumberFormat="1" applyBorder="1" applyAlignment="1">
      <alignment horizontal="right"/>
    </xf>
    <xf numFmtId="172" fontId="0" fillId="0" borderId="1" xfId="21" applyNumberFormat="1" applyBorder="1" applyAlignment="1">
      <alignment horizontal="right"/>
    </xf>
    <xf numFmtId="0" fontId="6" fillId="0" borderId="4" xfId="0" applyFont="1" applyBorder="1" applyAlignment="1">
      <alignment horizontal="center"/>
    </xf>
    <xf numFmtId="172" fontId="0" fillId="0" borderId="2" xfId="21" applyNumberFormat="1" applyFont="1" applyBorder="1" applyAlignment="1">
      <alignment/>
    </xf>
    <xf numFmtId="0" fontId="0" fillId="0" borderId="6" xfId="21" applyNumberFormat="1" applyFont="1" applyBorder="1" applyAlignment="1">
      <alignment/>
    </xf>
    <xf numFmtId="0" fontId="0" fillId="0" borderId="1" xfId="21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73" fontId="0" fillId="0" borderId="8" xfId="21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173" fontId="0" fillId="0" borderId="59" xfId="21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59" xfId="21" applyNumberFormat="1" applyFont="1" applyBorder="1" applyAlignment="1">
      <alignment horizontal="center"/>
    </xf>
    <xf numFmtId="173" fontId="0" fillId="0" borderId="61" xfId="21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72" fontId="3" fillId="0" borderId="11" xfId="21" applyNumberFormat="1" applyFont="1" applyBorder="1" applyAlignment="1">
      <alignment horizontal="right"/>
    </xf>
    <xf numFmtId="0" fontId="3" fillId="0" borderId="11" xfId="21" applyNumberFormat="1" applyFont="1" applyBorder="1" applyAlignment="1">
      <alignment horizontal="right"/>
    </xf>
    <xf numFmtId="172" fontId="3" fillId="0" borderId="10" xfId="21" applyNumberFormat="1" applyFont="1" applyBorder="1" applyAlignment="1">
      <alignment horizontal="right"/>
    </xf>
    <xf numFmtId="172" fontId="3" fillId="0" borderId="8" xfId="21" applyNumberFormat="1" applyFont="1" applyBorder="1" applyAlignment="1">
      <alignment horizontal="right"/>
    </xf>
    <xf numFmtId="0" fontId="3" fillId="0" borderId="8" xfId="21" applyNumberFormat="1" applyFont="1" applyBorder="1" applyAlignment="1">
      <alignment horizontal="right"/>
    </xf>
    <xf numFmtId="172" fontId="3" fillId="0" borderId="10" xfId="21" applyNumberFormat="1" applyFont="1" applyBorder="1" applyAlignment="1">
      <alignment/>
    </xf>
    <xf numFmtId="0" fontId="3" fillId="0" borderId="8" xfId="21" applyNumberFormat="1" applyFont="1" applyBorder="1" applyAlignment="1">
      <alignment/>
    </xf>
    <xf numFmtId="172" fontId="3" fillId="0" borderId="11" xfId="21" applyNumberFormat="1" applyFont="1" applyBorder="1" applyAlignment="1">
      <alignment/>
    </xf>
    <xf numFmtId="0" fontId="0" fillId="0" borderId="60" xfId="0" applyFont="1" applyBorder="1" applyAlignment="1">
      <alignment/>
    </xf>
    <xf numFmtId="172" fontId="0" fillId="0" borderId="59" xfId="21" applyNumberFormat="1" applyBorder="1" applyAlignment="1">
      <alignment horizontal="right"/>
    </xf>
    <xf numFmtId="0" fontId="0" fillId="0" borderId="59" xfId="21" applyNumberFormat="1" applyBorder="1" applyAlignment="1">
      <alignment horizontal="right"/>
    </xf>
    <xf numFmtId="172" fontId="0" fillId="0" borderId="41" xfId="21" applyNumberFormat="1" applyBorder="1" applyAlignment="1">
      <alignment horizontal="right"/>
    </xf>
    <xf numFmtId="172" fontId="0" fillId="0" borderId="61" xfId="21" applyNumberFormat="1" applyBorder="1" applyAlignment="1">
      <alignment horizontal="right"/>
    </xf>
    <xf numFmtId="0" fontId="0" fillId="0" borderId="61" xfId="21" applyNumberFormat="1" applyBorder="1" applyAlignment="1">
      <alignment horizontal="right"/>
    </xf>
    <xf numFmtId="0" fontId="0" fillId="0" borderId="61" xfId="21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8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18" fillId="0" borderId="5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18" fillId="0" borderId="3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6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60" xfId="0" applyFont="1" applyBorder="1" applyAlignment="1">
      <alignment/>
    </xf>
    <xf numFmtId="0" fontId="18" fillId="0" borderId="59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8" fillId="0" borderId="65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172" fontId="4" fillId="0" borderId="59" xfId="21" applyNumberFormat="1" applyFont="1" applyBorder="1" applyAlignment="1">
      <alignment horizontal="right"/>
    </xf>
    <xf numFmtId="172" fontId="4" fillId="0" borderId="59" xfId="21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13" fillId="0" borderId="20" xfId="0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right"/>
    </xf>
    <xf numFmtId="173" fontId="0" fillId="0" borderId="20" xfId="21" applyNumberFormat="1" applyBorder="1" applyAlignment="1">
      <alignment horizontal="right"/>
    </xf>
    <xf numFmtId="172" fontId="0" fillId="0" borderId="20" xfId="21" applyNumberFormat="1" applyBorder="1" applyAlignment="1">
      <alignment/>
    </xf>
    <xf numFmtId="172" fontId="0" fillId="0" borderId="20" xfId="21" applyNumberFormat="1" applyFont="1" applyBorder="1" applyAlignment="1">
      <alignment horizontal="right"/>
    </xf>
    <xf numFmtId="172" fontId="4" fillId="0" borderId="20" xfId="21" applyNumberFormat="1" applyFont="1" applyBorder="1" applyAlignment="1">
      <alignment horizontal="right"/>
    </xf>
    <xf numFmtId="172" fontId="4" fillId="0" borderId="60" xfId="21" applyNumberFormat="1" applyFont="1" applyBorder="1" applyAlignment="1">
      <alignment horizontal="right"/>
    </xf>
    <xf numFmtId="172" fontId="4" fillId="0" borderId="21" xfId="21" applyNumberFormat="1" applyFon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 horizontal="right"/>
    </xf>
    <xf numFmtId="172" fontId="0" fillId="0" borderId="6" xfId="21" applyNumberFormat="1" applyFill="1" applyBorder="1" applyAlignment="1">
      <alignment horizontal="right"/>
    </xf>
    <xf numFmtId="172" fontId="0" fillId="0" borderId="1" xfId="21" applyNumberFormat="1" applyFill="1" applyBorder="1" applyAlignment="1">
      <alignment horizontal="right"/>
    </xf>
    <xf numFmtId="172" fontId="0" fillId="0" borderId="1" xfId="0" applyNumberFormat="1" applyBorder="1" applyAlignment="1">
      <alignment/>
    </xf>
    <xf numFmtId="172" fontId="0" fillId="0" borderId="1" xfId="21" applyNumberFormat="1" applyFont="1" applyFill="1" applyBorder="1" applyAlignment="1">
      <alignment horizontal="right"/>
    </xf>
    <xf numFmtId="172" fontId="3" fillId="0" borderId="8" xfId="21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60" xfId="0" applyFont="1" applyFill="1" applyBorder="1" applyAlignment="1">
      <alignment horizontal="left"/>
    </xf>
    <xf numFmtId="1" fontId="0" fillId="0" borderId="59" xfId="0" applyNumberFormat="1" applyFill="1" applyBorder="1" applyAlignment="1">
      <alignment horizontal="right"/>
    </xf>
    <xf numFmtId="172" fontId="0" fillId="0" borderId="59" xfId="21" applyNumberFormat="1" applyFill="1" applyBorder="1" applyAlignment="1">
      <alignment horizontal="right"/>
    </xf>
    <xf numFmtId="1" fontId="0" fillId="0" borderId="59" xfId="21" applyNumberFormat="1" applyFont="1" applyFill="1" applyBorder="1" applyAlignment="1">
      <alignment horizontal="right"/>
    </xf>
    <xf numFmtId="172" fontId="0" fillId="0" borderId="61" xfId="21" applyNumberFormat="1" applyFill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8" xfId="0" applyFont="1" applyBorder="1" applyAlignment="1">
      <alignment/>
    </xf>
    <xf numFmtId="10" fontId="4" fillId="0" borderId="5" xfId="21" applyNumberFormat="1" applyFont="1" applyBorder="1" applyAlignment="1">
      <alignment/>
    </xf>
    <xf numFmtId="10" fontId="4" fillId="0" borderId="9" xfId="21" applyNumberFormat="1" applyFont="1" applyBorder="1" applyAlignment="1">
      <alignment/>
    </xf>
    <xf numFmtId="10" fontId="4" fillId="0" borderId="7" xfId="21" applyNumberFormat="1" applyFont="1" applyBorder="1" applyAlignment="1">
      <alignment/>
    </xf>
    <xf numFmtId="10" fontId="4" fillId="0" borderId="66" xfId="21" applyNumberFormat="1" applyFont="1" applyBorder="1" applyAlignment="1">
      <alignment/>
    </xf>
    <xf numFmtId="10" fontId="3" fillId="0" borderId="35" xfId="21" applyNumberFormat="1" applyFont="1" applyBorder="1" applyAlignment="1">
      <alignment/>
    </xf>
    <xf numFmtId="0" fontId="0" fillId="0" borderId="67" xfId="0" applyBorder="1" applyAlignment="1">
      <alignment/>
    </xf>
    <xf numFmtId="0" fontId="4" fillId="0" borderId="6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73" fontId="0" fillId="0" borderId="20" xfId="21" applyNumberFormat="1" applyBorder="1" applyAlignment="1">
      <alignment/>
    </xf>
    <xf numFmtId="173" fontId="0" fillId="0" borderId="20" xfId="21" applyNumberFormat="1" applyFont="1" applyBorder="1" applyAlignment="1">
      <alignment horizontal="right"/>
    </xf>
    <xf numFmtId="173" fontId="0" fillId="0" borderId="20" xfId="0" applyNumberFormat="1" applyBorder="1" applyAlignment="1">
      <alignment/>
    </xf>
    <xf numFmtId="0" fontId="4" fillId="0" borderId="20" xfId="0" applyFont="1" applyBorder="1" applyAlignment="1">
      <alignment horizontal="left"/>
    </xf>
    <xf numFmtId="173" fontId="4" fillId="0" borderId="20" xfId="21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173" fontId="3" fillId="0" borderId="21" xfId="21" applyNumberFormat="1" applyFont="1" applyBorder="1" applyAlignment="1">
      <alignment/>
    </xf>
    <xf numFmtId="173" fontId="4" fillId="0" borderId="60" xfId="21" applyNumberFormat="1" applyFont="1" applyBorder="1" applyAlignment="1">
      <alignment/>
    </xf>
    <xf numFmtId="0" fontId="8" fillId="0" borderId="21" xfId="0" applyFont="1" applyBorder="1" applyAlignment="1">
      <alignment/>
    </xf>
    <xf numFmtId="173" fontId="0" fillId="0" borderId="21" xfId="21" applyNumberFormat="1" applyBorder="1" applyAlignment="1">
      <alignment/>
    </xf>
    <xf numFmtId="173" fontId="0" fillId="0" borderId="20" xfId="21" applyNumberFormat="1" applyFont="1" applyBorder="1" applyAlignment="1">
      <alignment horizontal="right"/>
    </xf>
    <xf numFmtId="173" fontId="0" fillId="0" borderId="60" xfId="21" applyNumberFormat="1" applyFont="1" applyBorder="1" applyAlignment="1">
      <alignment horizontal="right"/>
    </xf>
    <xf numFmtId="173" fontId="0" fillId="0" borderId="60" xfId="21" applyNumberFormat="1" applyBorder="1" applyAlignment="1">
      <alignment/>
    </xf>
    <xf numFmtId="173" fontId="4" fillId="0" borderId="20" xfId="21" applyNumberFormat="1" applyFont="1" applyBorder="1" applyAlignment="1">
      <alignment horizontal="right"/>
    </xf>
    <xf numFmtId="173" fontId="4" fillId="0" borderId="60" xfId="21" applyNumberFormat="1" applyFont="1" applyBorder="1" applyAlignment="1">
      <alignment horizontal="right"/>
    </xf>
    <xf numFmtId="173" fontId="2" fillId="0" borderId="10" xfId="21" applyNumberFormat="1" applyFont="1" applyBorder="1" applyAlignment="1">
      <alignment horizontal="right"/>
    </xf>
    <xf numFmtId="173" fontId="3" fillId="0" borderId="68" xfId="21" applyNumberFormat="1" applyFont="1" applyBorder="1" applyAlignment="1">
      <alignment horizontal="right"/>
    </xf>
    <xf numFmtId="173" fontId="3" fillId="0" borderId="69" xfId="21" applyNumberFormat="1" applyFont="1" applyBorder="1" applyAlignment="1">
      <alignment horizontal="right"/>
    </xf>
    <xf numFmtId="173" fontId="4" fillId="0" borderId="0" xfId="21" applyNumberFormat="1" applyFont="1" applyBorder="1" applyAlignment="1">
      <alignment horizontal="right"/>
    </xf>
    <xf numFmtId="173" fontId="4" fillId="0" borderId="59" xfId="21" applyNumberFormat="1" applyFont="1" applyBorder="1" applyAlignment="1">
      <alignment horizontal="right"/>
    </xf>
    <xf numFmtId="173" fontId="3" fillId="0" borderId="70" xfId="21" applyNumberFormat="1" applyFont="1" applyBorder="1" applyAlignment="1">
      <alignment horizontal="right"/>
    </xf>
    <xf numFmtId="173" fontId="2" fillId="0" borderId="21" xfId="21" applyNumberFormat="1" applyFont="1" applyBorder="1" applyAlignment="1">
      <alignment horizontal="right"/>
    </xf>
    <xf numFmtId="173" fontId="3" fillId="0" borderId="10" xfId="21" applyNumberFormat="1" applyFont="1" applyBorder="1" applyAlignment="1">
      <alignment horizontal="right"/>
    </xf>
    <xf numFmtId="173" fontId="0" fillId="0" borderId="59" xfId="21" applyNumberFormat="1" applyFont="1" applyBorder="1" applyAlignment="1">
      <alignment horizontal="right"/>
    </xf>
    <xf numFmtId="173" fontId="3" fillId="0" borderId="11" xfId="21" applyNumberFormat="1" applyFont="1" applyBorder="1" applyAlignment="1">
      <alignment horizontal="right"/>
    </xf>
    <xf numFmtId="173" fontId="3" fillId="0" borderId="21" xfId="21" applyNumberFormat="1" applyFont="1" applyBorder="1" applyAlignment="1">
      <alignment horizontal="right"/>
    </xf>
    <xf numFmtId="173" fontId="3" fillId="0" borderId="11" xfId="21" applyNumberFormat="1" applyFont="1" applyBorder="1" applyAlignment="1">
      <alignment/>
    </xf>
    <xf numFmtId="173" fontId="0" fillId="0" borderId="20" xfId="21" applyNumberFormat="1" applyFont="1" applyBorder="1" applyAlignment="1">
      <alignment/>
    </xf>
    <xf numFmtId="173" fontId="3" fillId="0" borderId="21" xfId="21" applyNumberFormat="1" applyFont="1" applyBorder="1" applyAlignment="1">
      <alignment/>
    </xf>
    <xf numFmtId="0" fontId="3" fillId="0" borderId="10" xfId="0" applyFont="1" applyBorder="1" applyAlignment="1">
      <alignment/>
    </xf>
    <xf numFmtId="173" fontId="0" fillId="0" borderId="60" xfId="21" applyNumberFormat="1" applyFont="1" applyBorder="1" applyAlignment="1">
      <alignment/>
    </xf>
    <xf numFmtId="173" fontId="0" fillId="0" borderId="59" xfId="21" applyNumberFormat="1" applyFont="1" applyBorder="1" applyAlignment="1">
      <alignment/>
    </xf>
    <xf numFmtId="173" fontId="13" fillId="0" borderId="20" xfId="21" applyNumberFormat="1" applyFont="1" applyBorder="1" applyAlignment="1">
      <alignment horizontal="right"/>
    </xf>
    <xf numFmtId="173" fontId="13" fillId="0" borderId="20" xfId="21" applyNumberFormat="1" applyFont="1" applyBorder="1" applyAlignment="1">
      <alignment/>
    </xf>
    <xf numFmtId="0" fontId="13" fillId="0" borderId="21" xfId="0" applyFont="1" applyBorder="1" applyAlignment="1">
      <alignment horizontal="right"/>
    </xf>
    <xf numFmtId="173" fontId="13" fillId="0" borderId="21" xfId="21" applyNumberFormat="1" applyFont="1" applyBorder="1" applyAlignment="1">
      <alignment horizontal="right"/>
    </xf>
    <xf numFmtId="173" fontId="13" fillId="0" borderId="21" xfId="21" applyNumberFormat="1" applyFont="1" applyBorder="1" applyAlignment="1">
      <alignment/>
    </xf>
    <xf numFmtId="0" fontId="3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9" fontId="18" fillId="0" borderId="1" xfId="21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9" fontId="3" fillId="0" borderId="54" xfId="21" applyFont="1" applyBorder="1" applyAlignment="1">
      <alignment/>
    </xf>
    <xf numFmtId="9" fontId="3" fillId="0" borderId="21" xfId="21" applyFont="1" applyBorder="1" applyAlignment="1">
      <alignment/>
    </xf>
    <xf numFmtId="9" fontId="3" fillId="0" borderId="74" xfId="21" applyFont="1" applyBorder="1" applyAlignment="1">
      <alignment/>
    </xf>
    <xf numFmtId="9" fontId="3" fillId="0" borderId="8" xfId="21" applyFont="1" applyBorder="1" applyAlignment="1">
      <alignment/>
    </xf>
    <xf numFmtId="9" fontId="18" fillId="0" borderId="65" xfId="21" applyFont="1" applyBorder="1" applyAlignment="1">
      <alignment/>
    </xf>
    <xf numFmtId="9" fontId="18" fillId="0" borderId="60" xfId="21" applyFont="1" applyBorder="1" applyAlignment="1">
      <alignment/>
    </xf>
    <xf numFmtId="9" fontId="18" fillId="0" borderId="75" xfId="21" applyFont="1" applyBorder="1" applyAlignment="1">
      <alignment/>
    </xf>
    <xf numFmtId="9" fontId="18" fillId="0" borderId="61" xfId="21" applyFont="1" applyBorder="1" applyAlignment="1">
      <alignment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18" fillId="0" borderId="72" xfId="0" applyFont="1" applyBorder="1" applyAlignment="1">
      <alignment/>
    </xf>
    <xf numFmtId="0" fontId="18" fillId="0" borderId="78" xfId="0" applyFont="1" applyBorder="1" applyAlignment="1">
      <alignment/>
    </xf>
    <xf numFmtId="0" fontId="0" fillId="0" borderId="3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77" xfId="0" applyFont="1" applyFill="1" applyBorder="1" applyAlignment="1">
      <alignment horizontal="left"/>
    </xf>
    <xf numFmtId="49" fontId="4" fillId="0" borderId="67" xfId="0" applyNumberFormat="1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/>
    </xf>
    <xf numFmtId="1" fontId="4" fillId="0" borderId="80" xfId="0" applyNumberFormat="1" applyFont="1" applyFill="1" applyBorder="1" applyAlignment="1">
      <alignment horizontal="right"/>
    </xf>
    <xf numFmtId="1" fontId="4" fillId="0" borderId="81" xfId="0" applyNumberFormat="1" applyFont="1" applyFill="1" applyBorder="1" applyAlignment="1">
      <alignment horizontal="right"/>
    </xf>
    <xf numFmtId="0" fontId="4" fillId="0" borderId="80" xfId="0" applyFont="1" applyFill="1" applyBorder="1" applyAlignment="1">
      <alignment horizontal="right"/>
    </xf>
    <xf numFmtId="1" fontId="4" fillId="0" borderId="79" xfId="0" applyNumberFormat="1" applyFont="1" applyFill="1" applyBorder="1" applyAlignment="1">
      <alignment horizontal="right"/>
    </xf>
    <xf numFmtId="0" fontId="4" fillId="0" borderId="81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5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77" xfId="0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72" fontId="4" fillId="0" borderId="59" xfId="0" applyNumberFormat="1" applyFont="1" applyFill="1" applyBorder="1" applyAlignment="1">
      <alignment horizontal="right"/>
    </xf>
    <xf numFmtId="172" fontId="4" fillId="0" borderId="41" xfId="0" applyNumberFormat="1" applyFont="1" applyFill="1" applyBorder="1" applyAlignment="1">
      <alignment horizontal="right"/>
    </xf>
    <xf numFmtId="173" fontId="4" fillId="0" borderId="59" xfId="0" applyNumberFormat="1" applyFont="1" applyFill="1" applyBorder="1" applyAlignment="1">
      <alignment horizontal="right"/>
    </xf>
    <xf numFmtId="173" fontId="4" fillId="0" borderId="61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41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77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82" xfId="0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7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adtmp1\ROSA\estim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adtmp1\ROSA\EC.Anne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adtmp1\ROSA\EC.Anne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NNEX A.Table 1"/>
      <sheetName val="ANNEX A.Table 2"/>
      <sheetName val="ANNEX B.Table 1"/>
      <sheetName val="ANNEX B.Table 2"/>
      <sheetName val="ANNEX B. Table 3"/>
      <sheetName val="ANNEX C.Table 1"/>
      <sheetName val="ANNEX C.Table 2"/>
      <sheetName val="ANNEX C.Table 3"/>
      <sheetName val="ANNEX D"/>
      <sheetName val="ANNEX D (2)"/>
      <sheetName val="ANNEX E"/>
      <sheetName val="ANNEX F.Table 1"/>
      <sheetName val="ANNEX F.Table 2"/>
      <sheetName val="ANNEX F.Table 3"/>
      <sheetName val="ANNEX F.Table 4"/>
    </sheetNames>
    <sheetDataSet>
      <sheetData sheetId="1">
        <row r="3">
          <cell r="CD3" t="str">
            <v>Arithmetic Average of </v>
          </cell>
          <cell r="CG3" t="str">
            <v>Estimated tariff revenue</v>
          </cell>
        </row>
        <row r="4">
          <cell r="CD4" t="str">
            <v>Applied Tariffs</v>
          </cell>
          <cell r="CG4" t="str">
            <v>with simple average</v>
          </cell>
        </row>
        <row r="5">
          <cell r="CG5">
            <v>37.32459024285714</v>
          </cell>
        </row>
        <row r="7">
          <cell r="CG7">
            <v>41.669421285714286</v>
          </cell>
        </row>
        <row r="9">
          <cell r="CG9">
            <v>14.309788366085721</v>
          </cell>
        </row>
        <row r="11">
          <cell r="CG11">
            <v>69.74618322452856</v>
          </cell>
        </row>
        <row r="13">
          <cell r="CG13">
            <v>17.47629433846154</v>
          </cell>
        </row>
        <row r="15">
          <cell r="CG15">
            <v>18.987153556907696</v>
          </cell>
        </row>
        <row r="17">
          <cell r="CG17">
            <v>11.022850753846154</v>
          </cell>
        </row>
        <row r="19">
          <cell r="CG19">
            <v>6.0580850322916655</v>
          </cell>
        </row>
        <row r="21">
          <cell r="CG21">
            <v>0</v>
          </cell>
        </row>
        <row r="23">
          <cell r="CG23">
            <v>7.718072657142856</v>
          </cell>
        </row>
        <row r="25">
          <cell r="CG25">
            <v>37.19982331273846</v>
          </cell>
        </row>
        <row r="27">
          <cell r="CG27">
            <v>11.79426417857143</v>
          </cell>
        </row>
        <row r="29">
          <cell r="CG29">
            <v>104.82268954764285</v>
          </cell>
        </row>
        <row r="31">
          <cell r="CG31">
            <v>20.352374215384614</v>
          </cell>
        </row>
        <row r="33">
          <cell r="CG33">
            <v>21.022019162742858</v>
          </cell>
        </row>
        <row r="35">
          <cell r="CG35">
            <v>18.042735246666666</v>
          </cell>
        </row>
        <row r="37">
          <cell r="CG37">
            <v>4.924194678649999</v>
          </cell>
        </row>
        <row r="39">
          <cell r="CG39">
            <v>2.2588037499999998</v>
          </cell>
        </row>
        <row r="41">
          <cell r="CG41">
            <v>8.119080000000004</v>
          </cell>
        </row>
        <row r="43">
          <cell r="CG43">
            <v>26.680067692333335</v>
          </cell>
        </row>
        <row r="45">
          <cell r="CG45">
            <v>5.441117648615384</v>
          </cell>
        </row>
        <row r="47">
          <cell r="CG47">
            <v>58.41164520114998</v>
          </cell>
        </row>
        <row r="51">
          <cell r="CD51">
            <v>0.024435714285714286</v>
          </cell>
          <cell r="CG51">
            <v>27.894366447042852</v>
          </cell>
        </row>
        <row r="53">
          <cell r="CD53">
            <v>0.045142857142857144</v>
          </cell>
          <cell r="CG53">
            <v>20.924023062857145</v>
          </cell>
        </row>
        <row r="55">
          <cell r="CD55">
            <v>0.02809285714285714</v>
          </cell>
          <cell r="CG55">
            <v>159.18029197572858</v>
          </cell>
        </row>
        <row r="57">
          <cell r="CD57">
            <v>0</v>
          </cell>
          <cell r="CG57">
            <v>0</v>
          </cell>
        </row>
        <row r="59">
          <cell r="CD59">
            <v>0.059385714285714285</v>
          </cell>
          <cell r="CG59">
            <v>21.787007912085713</v>
          </cell>
        </row>
        <row r="61">
          <cell r="CD61">
            <v>0.002428571428571429</v>
          </cell>
          <cell r="CG61">
            <v>1.398524428571429</v>
          </cell>
        </row>
        <row r="63">
          <cell r="CD63">
            <v>0.007757142857142858</v>
          </cell>
          <cell r="CG63">
            <v>32.0313342837</v>
          </cell>
        </row>
        <row r="68">
          <cell r="CD68">
            <v>0.04052155935055121</v>
          </cell>
          <cell r="CG68">
            <v>806.5968022023171</v>
          </cell>
        </row>
      </sheetData>
      <sheetData sheetId="8">
        <row r="6">
          <cell r="F6">
            <v>92176.61971830986</v>
          </cell>
          <cell r="H6">
            <v>2248.6315789473683</v>
          </cell>
        </row>
        <row r="7">
          <cell r="F7">
            <v>103908.23948681397</v>
          </cell>
          <cell r="H7">
            <v>2407.9650748396293</v>
          </cell>
        </row>
        <row r="8">
          <cell r="F8">
            <v>823213.6969155119</v>
          </cell>
          <cell r="H8">
            <v>7938.185069289227</v>
          </cell>
        </row>
        <row r="9">
          <cell r="F9">
            <v>22191.378184193338</v>
          </cell>
          <cell r="H9">
            <v>544.7419986936643</v>
          </cell>
        </row>
        <row r="10">
          <cell r="F10">
            <v>58918.29466687767</v>
          </cell>
          <cell r="H10">
            <v>419.19417629371736</v>
          </cell>
        </row>
        <row r="12">
          <cell r="F12">
            <v>1530660</v>
          </cell>
          <cell r="H12">
            <v>18000</v>
          </cell>
        </row>
        <row r="13">
          <cell r="F13">
            <v>35161.560699999995</v>
          </cell>
          <cell r="H13">
            <v>1549.8130999999998</v>
          </cell>
        </row>
        <row r="15">
          <cell r="F15">
            <v>17161.0429824777</v>
          </cell>
          <cell r="H15">
            <v>1506.4756334324543</v>
          </cell>
        </row>
        <row r="16">
          <cell r="F16">
            <v>38592.492485271134</v>
          </cell>
          <cell r="H16">
            <v>3406.730792353012</v>
          </cell>
        </row>
        <row r="17">
          <cell r="F17">
            <v>11248.554621242196</v>
          </cell>
          <cell r="H17">
            <v>922.4114908513478</v>
          </cell>
        </row>
        <row r="18">
          <cell r="F18">
            <v>20146.041651003685</v>
          </cell>
          <cell r="H18">
            <v>739.6436358168559</v>
          </cell>
        </row>
        <row r="19">
          <cell r="F19">
            <v>18902.229430846357</v>
          </cell>
          <cell r="H19">
            <v>1835.1002654084339</v>
          </cell>
        </row>
        <row r="20">
          <cell r="F20">
            <v>19807.86884398071</v>
          </cell>
        </row>
        <row r="21">
          <cell r="F21">
            <v>10916.526851652685</v>
          </cell>
          <cell r="H21">
            <v>51.51932315193231</v>
          </cell>
        </row>
        <row r="22">
          <cell r="F22">
            <v>51324.6162592382</v>
          </cell>
          <cell r="H22">
            <v>12552.586696986924</v>
          </cell>
        </row>
        <row r="23">
          <cell r="F23">
            <v>27413.344887348354</v>
          </cell>
          <cell r="H23">
            <v>1407.2790294627382</v>
          </cell>
        </row>
        <row r="24">
          <cell r="F24">
            <v>108780.172970182</v>
          </cell>
          <cell r="H24">
            <v>6852.975345294953</v>
          </cell>
        </row>
        <row r="26">
          <cell r="F26">
            <v>24550.7474429583</v>
          </cell>
          <cell r="H26">
            <v>2412.2738001573566</v>
          </cell>
        </row>
        <row r="27">
          <cell r="F27">
            <v>35716.99568232369</v>
          </cell>
          <cell r="H27">
            <v>1415.9093287975925</v>
          </cell>
        </row>
        <row r="28">
          <cell r="F28">
            <v>6914.218698198696</v>
          </cell>
          <cell r="H28">
            <v>1213.3782738424136</v>
          </cell>
        </row>
        <row r="29">
          <cell r="F29">
            <v>10267.396525547445</v>
          </cell>
          <cell r="H29">
            <v>2579.8832116788317</v>
          </cell>
        </row>
        <row r="30">
          <cell r="F30">
            <v>827.8451638297872</v>
          </cell>
          <cell r="H30">
            <v>103.13943191489362</v>
          </cell>
        </row>
      </sheetData>
      <sheetData sheetId="9">
        <row r="9">
          <cell r="Q9">
            <v>0.07294864293108881</v>
          </cell>
          <cell r="U9">
            <v>0.0416516631408381</v>
          </cell>
        </row>
        <row r="10">
          <cell r="Q10">
            <v>0.05172631048387097</v>
          </cell>
        </row>
        <row r="11">
          <cell r="Q11">
            <v>0.01808068905535449</v>
          </cell>
          <cell r="S11">
            <v>0.003581348371349213</v>
          </cell>
          <cell r="U11">
            <v>0.026756305585949554</v>
          </cell>
          <cell r="W11">
            <v>0.020150520438795838</v>
          </cell>
        </row>
        <row r="12">
          <cell r="Q12">
            <v>0.039819464751128346</v>
          </cell>
          <cell r="S12">
            <v>0.0056957599644014995</v>
          </cell>
          <cell r="U12">
            <v>0.0036806306019960587</v>
          </cell>
          <cell r="W12">
            <v>0.0440849278494692</v>
          </cell>
        </row>
        <row r="13">
          <cell r="Q13">
            <v>0.03824141519250781</v>
          </cell>
          <cell r="S13">
            <v>0.01499595328939762</v>
          </cell>
        </row>
        <row r="14">
          <cell r="Q14">
            <v>0.07945985319028796</v>
          </cell>
        </row>
        <row r="15">
          <cell r="Q15">
            <v>0.0484997825771851</v>
          </cell>
          <cell r="U15">
            <v>0.029021286728925517</v>
          </cell>
        </row>
        <row r="17">
          <cell r="Q17">
            <v>0.036016289525137926</v>
          </cell>
          <cell r="S17">
            <v>0.010934406017659439</v>
          </cell>
          <cell r="U17">
            <v>0.02155746790041969</v>
          </cell>
          <cell r="W17">
            <v>0.022896247680486197</v>
          </cell>
        </row>
        <row r="18">
          <cell r="Q18">
            <v>0.038776253490348425</v>
          </cell>
          <cell r="S18">
            <v>0.008134029379628505</v>
          </cell>
          <cell r="U18">
            <v>0.004951438630569382</v>
          </cell>
          <cell r="W18">
            <v>0.02019121039213306</v>
          </cell>
        </row>
        <row r="19">
          <cell r="Q19">
            <v>0.07005668838311194</v>
          </cell>
          <cell r="U19">
            <v>0.05805059649716558</v>
          </cell>
          <cell r="W19">
            <v>0.02649124291395211</v>
          </cell>
        </row>
        <row r="20">
          <cell r="Q20">
            <v>0.0285697393918904</v>
          </cell>
        </row>
        <row r="22">
          <cell r="Q22">
            <v>0.046426460198682185</v>
          </cell>
          <cell r="S22">
            <v>0.021540724079761236</v>
          </cell>
          <cell r="U22">
            <v>0.0260272935680609</v>
          </cell>
          <cell r="W22">
            <v>0.038056721023112305</v>
          </cell>
        </row>
      </sheetData>
      <sheetData sheetId="11">
        <row r="11">
          <cell r="E11" t="str">
            <v>…</v>
          </cell>
        </row>
        <row r="14">
          <cell r="E14" t="str">
            <v>…</v>
          </cell>
          <cell r="K14" t="str">
            <v>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NNEX A.Table 1"/>
      <sheetName val="ANNEX A.Table 2"/>
      <sheetName val="ANNEX B.Table 1"/>
      <sheetName val="ANNEX B.Table 2"/>
      <sheetName val="ANNEX B. Table 3"/>
      <sheetName val="ANNEX B.Table 4"/>
      <sheetName val="ANNEX B.Table 5"/>
      <sheetName val="ANNEX B.Table 6"/>
      <sheetName val="ANNEX B.Table 7"/>
      <sheetName val="ANNEX B.Table 8"/>
      <sheetName val="ANNEX B.Table 9"/>
      <sheetName val="ANNEX C.Table 1"/>
      <sheetName val="ANNEX C.Table 2"/>
      <sheetName val="ANNEX C.Table 3"/>
      <sheetName val="ANNEX D"/>
      <sheetName val="ANNEX D (2)"/>
      <sheetName val="ANNEX E"/>
      <sheetName val="ANNEX F.Table 1"/>
      <sheetName val="ANNEX F.Table 2"/>
      <sheetName val="ANNEX F.Table 3"/>
      <sheetName val="ANNEX F.Table 4"/>
      <sheetName val="ANNEX F.Table 5"/>
    </sheetNames>
    <sheetDataSet>
      <sheetData sheetId="1">
        <row r="5">
          <cell r="CD5">
            <v>0.15459285714285714</v>
          </cell>
          <cell r="CE5">
            <v>241.438</v>
          </cell>
          <cell r="CF5">
            <v>44.6148487</v>
          </cell>
        </row>
        <row r="7">
          <cell r="CD7">
            <v>0.12242857142857143</v>
          </cell>
          <cell r="CE7">
            <v>340.357</v>
          </cell>
          <cell r="CF7">
            <v>28.11700400000001</v>
          </cell>
        </row>
        <row r="9">
          <cell r="CD9">
            <v>0.10541428571428575</v>
          </cell>
          <cell r="CE9">
            <v>135.748094</v>
          </cell>
          <cell r="CF9">
            <v>14.450328846999998</v>
          </cell>
        </row>
        <row r="11">
          <cell r="CD11">
            <v>0.1116142857142857</v>
          </cell>
          <cell r="CE11">
            <v>624.885809</v>
          </cell>
          <cell r="CF11">
            <v>107.2869115658</v>
          </cell>
        </row>
        <row r="13">
          <cell r="CD13">
            <v>0.03533076923076923</v>
          </cell>
          <cell r="CE13">
            <v>494.648</v>
          </cell>
          <cell r="CF13">
            <v>17.93212</v>
          </cell>
        </row>
        <row r="15">
          <cell r="CD15">
            <v>0.12179230769230769</v>
          </cell>
          <cell r="CE15">
            <v>155.89780600000003</v>
          </cell>
          <cell r="CF15">
            <v>12.923202486700001</v>
          </cell>
        </row>
        <row r="17">
          <cell r="CD17">
            <v>0.03958461538461538</v>
          </cell>
          <cell r="CE17">
            <v>278.463</v>
          </cell>
          <cell r="CF17">
            <v>7.6947426</v>
          </cell>
        </row>
        <row r="19">
          <cell r="CD19">
            <v>0.25104166666666666</v>
          </cell>
          <cell r="CE19">
            <v>24.131790999999996</v>
          </cell>
          <cell r="CF19">
            <v>2.0720955374999996</v>
          </cell>
        </row>
        <row r="21">
          <cell r="CD21">
            <v>0</v>
          </cell>
          <cell r="CE21">
            <v>870.393</v>
          </cell>
          <cell r="CF21">
            <v>0</v>
          </cell>
        </row>
        <row r="23">
          <cell r="CD23">
            <v>0.0688142857142857</v>
          </cell>
          <cell r="CE23">
            <v>112.158</v>
          </cell>
          <cell r="CF23">
            <v>7.6856942</v>
          </cell>
        </row>
        <row r="25">
          <cell r="CD25">
            <v>0.18823846153846152</v>
          </cell>
          <cell r="CE25">
            <v>197.620736</v>
          </cell>
          <cell r="CF25">
            <v>51.2924387505</v>
          </cell>
        </row>
        <row r="27">
          <cell r="CD27">
            <v>0.1680214285714286</v>
          </cell>
          <cell r="CE27">
            <v>70.195</v>
          </cell>
          <cell r="CF27">
            <v>7.2327375</v>
          </cell>
        </row>
        <row r="29">
          <cell r="CD29">
            <v>0.13593571428571427</v>
          </cell>
          <cell r="CE29">
            <v>771.1195700000001</v>
          </cell>
          <cell r="CF29">
            <v>162.7400384192</v>
          </cell>
        </row>
        <row r="31">
          <cell r="CD31">
            <v>0.08076923076923077</v>
          </cell>
          <cell r="CE31">
            <v>251.98177599999997</v>
          </cell>
          <cell r="CF31">
            <v>16.390485310400003</v>
          </cell>
        </row>
        <row r="33">
          <cell r="CD33">
            <v>0.1306285714285714</v>
          </cell>
          <cell r="CE33">
            <v>160.92971800000004</v>
          </cell>
          <cell r="CF33">
            <v>13.814657095700003</v>
          </cell>
        </row>
        <row r="35">
          <cell r="CD35">
            <v>0.32666666666666666</v>
          </cell>
          <cell r="CE35">
            <v>55.232862999999995</v>
          </cell>
          <cell r="CF35">
            <v>16.1026856636</v>
          </cell>
        </row>
        <row r="37">
          <cell r="CD37">
            <v>0.27347499999999997</v>
          </cell>
          <cell r="CE37">
            <v>18.006014</v>
          </cell>
          <cell r="CF37">
            <v>2.3332168251</v>
          </cell>
        </row>
        <row r="39">
          <cell r="CD39">
            <v>0.11628333333333331</v>
          </cell>
          <cell r="CE39">
            <v>19.425</v>
          </cell>
          <cell r="CF39">
            <v>1.8839340000000002</v>
          </cell>
        </row>
        <row r="41">
          <cell r="CD41">
            <v>0.12000000000000004</v>
          </cell>
          <cell r="CE41">
            <v>67.659</v>
          </cell>
          <cell r="CF41">
            <v>8.11908</v>
          </cell>
        </row>
        <row r="43">
          <cell r="CD43">
            <v>0.19033333333333333</v>
          </cell>
          <cell r="CE43">
            <v>140.175487</v>
          </cell>
          <cell r="CF43">
            <v>20.929690146</v>
          </cell>
        </row>
        <row r="45">
          <cell r="CD45">
            <v>0.07046153846153845</v>
          </cell>
          <cell r="CE45">
            <v>77.221102</v>
          </cell>
          <cell r="CF45">
            <v>2.528474662</v>
          </cell>
        </row>
        <row r="47">
          <cell r="CD47">
            <v>0.20972499999999997</v>
          </cell>
          <cell r="CE47">
            <v>278.51541399999996</v>
          </cell>
          <cell r="CF47">
            <v>67.3732191092</v>
          </cell>
        </row>
        <row r="51">
          <cell r="CE51">
            <v>1112.8881902633998</v>
          </cell>
          <cell r="CF51">
            <v>15.312036911548349</v>
          </cell>
        </row>
        <row r="53">
          <cell r="CE53">
            <v>463.50684000000007</v>
          </cell>
          <cell r="CF53">
            <v>13.508618978300001</v>
          </cell>
        </row>
        <row r="55">
          <cell r="CE55">
            <v>5666.219394000001</v>
          </cell>
          <cell r="CF55">
            <v>173.416823130206</v>
          </cell>
        </row>
        <row r="57">
          <cell r="CE57">
            <v>2175.899433</v>
          </cell>
          <cell r="CF57">
            <v>0</v>
          </cell>
        </row>
        <row r="59">
          <cell r="CE59">
            <v>223.79245557999994</v>
          </cell>
          <cell r="CF59">
            <v>9.413399986647999</v>
          </cell>
        </row>
        <row r="61">
          <cell r="CE61">
            <v>575.863</v>
          </cell>
          <cell r="CF61">
            <v>0.24684000000000006</v>
          </cell>
        </row>
        <row r="63">
          <cell r="CE63">
            <v>4129.2696129999995</v>
          </cell>
          <cell r="CF63">
            <v>21.487783697</v>
          </cell>
        </row>
      </sheetData>
      <sheetData sheetId="18">
        <row r="33">
          <cell r="C33">
            <v>346</v>
          </cell>
          <cell r="D33">
            <v>525</v>
          </cell>
          <cell r="L33">
            <v>161</v>
          </cell>
          <cell r="M33">
            <v>24716</v>
          </cell>
          <cell r="N33">
            <v>33167</v>
          </cell>
        </row>
        <row r="34">
          <cell r="H34">
            <v>324</v>
          </cell>
          <cell r="N34">
            <v>11605</v>
          </cell>
        </row>
        <row r="35">
          <cell r="C35">
            <v>124</v>
          </cell>
          <cell r="D35">
            <v>197</v>
          </cell>
          <cell r="F35">
            <v>35</v>
          </cell>
          <cell r="G35">
            <v>786</v>
          </cell>
          <cell r="H35">
            <v>576</v>
          </cell>
          <cell r="M35">
            <v>12346</v>
          </cell>
          <cell r="N35">
            <v>17206</v>
          </cell>
        </row>
        <row r="36">
          <cell r="C36">
            <v>726</v>
          </cell>
          <cell r="D36">
            <v>997</v>
          </cell>
          <cell r="F36">
            <v>3061</v>
          </cell>
          <cell r="H36">
            <v>3597</v>
          </cell>
          <cell r="I36">
            <v>33801</v>
          </cell>
          <cell r="J36">
            <v>41707</v>
          </cell>
          <cell r="K36">
            <v>626</v>
          </cell>
          <cell r="L36">
            <v>1180</v>
          </cell>
          <cell r="M36">
            <v>164410</v>
          </cell>
          <cell r="N36">
            <v>150205</v>
          </cell>
        </row>
        <row r="37">
          <cell r="C37">
            <v>2700</v>
          </cell>
          <cell r="D37">
            <v>2949</v>
          </cell>
          <cell r="E37">
            <v>409</v>
          </cell>
          <cell r="F37">
            <v>2729</v>
          </cell>
          <cell r="G37">
            <v>1718</v>
          </cell>
          <cell r="H37">
            <v>2989</v>
          </cell>
          <cell r="M37">
            <v>168718</v>
          </cell>
          <cell r="N37">
            <v>209178</v>
          </cell>
        </row>
        <row r="38">
          <cell r="C38">
            <v>488</v>
          </cell>
          <cell r="D38">
            <v>626</v>
          </cell>
          <cell r="M38">
            <v>123057</v>
          </cell>
          <cell r="N38">
            <v>130840</v>
          </cell>
        </row>
        <row r="39">
          <cell r="C39">
            <v>834</v>
          </cell>
          <cell r="D39">
            <v>1291</v>
          </cell>
          <cell r="E39">
            <v>416</v>
          </cell>
          <cell r="F39">
            <v>1069</v>
          </cell>
          <cell r="G39">
            <v>491</v>
          </cell>
          <cell r="H39">
            <v>776</v>
          </cell>
          <cell r="M39">
            <v>77478</v>
          </cell>
          <cell r="N39">
            <v>94228</v>
          </cell>
        </row>
        <row r="40">
          <cell r="C40">
            <v>249</v>
          </cell>
          <cell r="D40">
            <v>398</v>
          </cell>
          <cell r="G40">
            <v>3311</v>
          </cell>
          <cell r="H40">
            <v>3132</v>
          </cell>
          <cell r="I40">
            <v>10041</v>
          </cell>
          <cell r="J40">
            <v>10440</v>
          </cell>
          <cell r="M40">
            <v>55233</v>
          </cell>
          <cell r="N40">
            <v>62426</v>
          </cell>
        </row>
        <row r="41">
          <cell r="C41">
            <v>1128</v>
          </cell>
          <cell r="D41">
            <v>1264</v>
          </cell>
          <cell r="E41">
            <v>1342</v>
          </cell>
          <cell r="F41">
            <v>1391</v>
          </cell>
          <cell r="G41">
            <v>3973</v>
          </cell>
          <cell r="H41">
            <v>5626</v>
          </cell>
          <cell r="I41">
            <v>7226</v>
          </cell>
          <cell r="J41">
            <v>8143</v>
          </cell>
          <cell r="M41">
            <v>32991</v>
          </cell>
          <cell r="N41">
            <v>41064</v>
          </cell>
        </row>
        <row r="42">
          <cell r="G42">
            <v>490</v>
          </cell>
          <cell r="H42">
            <v>497</v>
          </cell>
          <cell r="M42">
            <v>13030</v>
          </cell>
          <cell r="N42">
            <v>19628</v>
          </cell>
        </row>
        <row r="43">
          <cell r="C43">
            <v>3218</v>
          </cell>
          <cell r="D43">
            <v>3449</v>
          </cell>
          <cell r="M43">
            <v>115698</v>
          </cell>
          <cell r="N43">
            <v>136198</v>
          </cell>
        </row>
        <row r="44">
          <cell r="C44">
            <v>8948</v>
          </cell>
          <cell r="D44">
            <v>10489</v>
          </cell>
          <cell r="E44">
            <v>2549</v>
          </cell>
          <cell r="F44">
            <v>6058</v>
          </cell>
          <cell r="G44">
            <v>5798</v>
          </cell>
          <cell r="H44">
            <v>7409</v>
          </cell>
          <cell r="I44">
            <v>47478</v>
          </cell>
          <cell r="J44">
            <v>45782</v>
          </cell>
          <cell r="L44">
            <v>2200</v>
          </cell>
          <cell r="M44">
            <v>295448</v>
          </cell>
          <cell r="N44">
            <v>326808</v>
          </cell>
        </row>
      </sheetData>
      <sheetData sheetId="19">
        <row r="6">
          <cell r="C6">
            <v>8241.585000000001</v>
          </cell>
          <cell r="D6">
            <v>9226.0053</v>
          </cell>
          <cell r="L6">
            <v>7556.997600000001</v>
          </cell>
          <cell r="M6">
            <v>216857.97600000002</v>
          </cell>
          <cell r="N6">
            <v>238452.2496</v>
          </cell>
        </row>
        <row r="7">
          <cell r="H7">
            <v>4374.364191251271</v>
          </cell>
          <cell r="N7">
            <v>23525.865641837157</v>
          </cell>
        </row>
        <row r="8">
          <cell r="C8">
            <v>2370.406750904139</v>
          </cell>
          <cell r="D8">
            <v>2503.034327982229</v>
          </cell>
          <cell r="F8">
            <v>594.0412668605584</v>
          </cell>
          <cell r="G8">
            <v>2556.145912398982</v>
          </cell>
          <cell r="H8">
            <v>3105.0908008335814</v>
          </cell>
          <cell r="M8">
            <v>61054.38228334152</v>
          </cell>
          <cell r="N8">
            <v>68449.630155495</v>
          </cell>
        </row>
        <row r="9">
          <cell r="C9">
            <v>29336.204616721447</v>
          </cell>
          <cell r="D9">
            <v>34561.62642947904</v>
          </cell>
          <cell r="F9">
            <v>8757.697194800117</v>
          </cell>
          <cell r="H9">
            <v>61225.68663864725</v>
          </cell>
          <cell r="I9">
            <v>118988.25040613548</v>
          </cell>
          <cell r="J9">
            <v>135568.37063825628</v>
          </cell>
          <cell r="K9">
            <v>32075.25784880426</v>
          </cell>
          <cell r="L9">
            <v>39390.088945362135</v>
          </cell>
          <cell r="M9">
            <v>865314.1410706864</v>
          </cell>
          <cell r="N9">
            <v>1026194.8978594468</v>
          </cell>
        </row>
        <row r="10">
          <cell r="C10">
            <v>41918.42223218288</v>
          </cell>
          <cell r="D10">
            <v>50958.06294047868</v>
          </cell>
          <cell r="E10">
            <v>21354.933726067746</v>
          </cell>
          <cell r="F10">
            <v>36201.24206266136</v>
          </cell>
          <cell r="G10">
            <v>77530.89581865915</v>
          </cell>
          <cell r="H10">
            <v>92317.35398785849</v>
          </cell>
          <cell r="M10">
            <v>1163539.7323429596</v>
          </cell>
          <cell r="N10">
            <v>1501193.2175005232</v>
          </cell>
        </row>
        <row r="11">
          <cell r="C11">
            <v>19912.36611489776</v>
          </cell>
          <cell r="D11">
            <v>19689.360918411196</v>
          </cell>
          <cell r="M11">
            <v>779672.1843557286</v>
          </cell>
          <cell r="N11">
            <v>699114.7400085947</v>
          </cell>
        </row>
        <row r="12">
          <cell r="C12">
            <v>6607.904464031845</v>
          </cell>
          <cell r="D12">
            <v>8437.441614249237</v>
          </cell>
          <cell r="E12">
            <v>4224.623258458914</v>
          </cell>
          <cell r="F12">
            <v>5943.825122999316</v>
          </cell>
          <cell r="G12">
            <v>10833.665055444982</v>
          </cell>
          <cell r="H12">
            <v>14144.609827489568</v>
          </cell>
          <cell r="M12">
            <v>204079.61330679557</v>
          </cell>
          <cell r="N12">
            <v>256876.12879118143</v>
          </cell>
        </row>
        <row r="13">
          <cell r="C13">
            <v>11320.57042391092</v>
          </cell>
          <cell r="D13">
            <v>9867.986798679867</v>
          </cell>
          <cell r="G13">
            <v>40438.56221918344</v>
          </cell>
          <cell r="H13">
            <v>32905.076221907904</v>
          </cell>
          <cell r="I13">
            <v>27926.352803281894</v>
          </cell>
          <cell r="J13">
            <v>24604.746188904603</v>
          </cell>
          <cell r="M13">
            <v>358537.8003516312</v>
          </cell>
          <cell r="N13">
            <v>308454.34543454344</v>
          </cell>
        </row>
        <row r="14">
          <cell r="C14">
            <v>6003.413454700612</v>
          </cell>
          <cell r="D14">
            <v>6946.698837464357</v>
          </cell>
          <cell r="E14">
            <v>4137.391551699617</v>
          </cell>
          <cell r="F14">
            <v>4977.699787965197</v>
          </cell>
          <cell r="G14">
            <v>24312.33110510596</v>
          </cell>
          <cell r="H14">
            <v>23404.986473641882</v>
          </cell>
          <cell r="I14">
            <v>30677.00184895463</v>
          </cell>
          <cell r="J14">
            <v>33578.2700884697</v>
          </cell>
          <cell r="M14">
            <v>166514.7205233964</v>
          </cell>
          <cell r="N14">
            <v>176519.70461358485</v>
          </cell>
        </row>
        <row r="15">
          <cell r="G15">
            <v>6329.001746216531</v>
          </cell>
          <cell r="H15">
            <v>3884.3392211827486</v>
          </cell>
          <cell r="M15">
            <v>83728.9289871944</v>
          </cell>
          <cell r="N15">
            <v>68031.75385862407</v>
          </cell>
        </row>
        <row r="16">
          <cell r="C16">
            <v>30915.81174000001</v>
          </cell>
          <cell r="D16">
            <v>32097.219000000005</v>
          </cell>
          <cell r="M16">
            <v>648229.8075000001</v>
          </cell>
          <cell r="N16">
            <v>677968.907</v>
          </cell>
        </row>
        <row r="17">
          <cell r="C17">
            <v>161000</v>
          </cell>
          <cell r="D17">
            <v>188200</v>
          </cell>
          <cell r="E17">
            <v>122800</v>
          </cell>
          <cell r="F17">
            <v>149400</v>
          </cell>
          <cell r="G17">
            <v>290300</v>
          </cell>
          <cell r="H17">
            <v>322000</v>
          </cell>
          <cell r="I17">
            <v>471200</v>
          </cell>
          <cell r="J17">
            <v>527900</v>
          </cell>
          <cell r="L17">
            <v>77100</v>
          </cell>
          <cell r="M17">
            <v>4390300</v>
          </cell>
          <cell r="N17">
            <v>4926200</v>
          </cell>
        </row>
      </sheetData>
      <sheetData sheetId="21">
        <row r="5">
          <cell r="I5">
            <v>1995</v>
          </cell>
        </row>
      </sheetData>
      <sheetData sheetId="22">
        <row r="8">
          <cell r="I8">
            <v>346.379463</v>
          </cell>
        </row>
        <row r="9">
          <cell r="I9">
            <v>47.17606721675897</v>
          </cell>
        </row>
        <row r="10">
          <cell r="I10">
            <v>124.975381867314</v>
          </cell>
        </row>
        <row r="11">
          <cell r="I11">
            <v>1497.8789952106342</v>
          </cell>
        </row>
        <row r="12">
          <cell r="I12">
            <v>2414.0674063219594</v>
          </cell>
        </row>
        <row r="13">
          <cell r="I13">
            <v>1087.236785560808</v>
          </cell>
        </row>
        <row r="14">
          <cell r="I14">
            <v>395.2793174316498</v>
          </cell>
        </row>
        <row r="15">
          <cell r="I15">
            <v>548.3184032688984</v>
          </cell>
        </row>
        <row r="16">
          <cell r="I16">
            <v>266.5789281275134</v>
          </cell>
        </row>
        <row r="17">
          <cell r="I17">
            <v>172.89473224997275</v>
          </cell>
        </row>
        <row r="18">
          <cell r="I18">
            <v>1105.13942</v>
          </cell>
        </row>
        <row r="19">
          <cell r="I19">
            <v>7253.8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NNEX A.Table 1"/>
      <sheetName val="ANNEX A.Table 2"/>
      <sheetName val="ANNEX B.Table 1"/>
      <sheetName val="ANNEX B.Table 2"/>
      <sheetName val="ANNEX B. Table 3"/>
      <sheetName val="ANNEX B.Table 4"/>
      <sheetName val="ANNEX B.Table 5"/>
      <sheetName val="ANNEX B.Table 6"/>
      <sheetName val="ANNEX B.Table 7"/>
      <sheetName val="ANNEX B.Table 8"/>
      <sheetName val="ANNEX B.Table 9"/>
      <sheetName val="ANNEX C.Table 1"/>
      <sheetName val="ANNEX C.Table 2"/>
      <sheetName val="ANNEX C.Table 3"/>
      <sheetName val="ANNEX D"/>
      <sheetName val="ANNEX D (2)"/>
      <sheetName val="ANNEX E"/>
      <sheetName val="ANNEX F.Table 1"/>
      <sheetName val="ANNEX F.Table 2"/>
      <sheetName val="ANNEX F.Table 3"/>
      <sheetName val="ANNEX F.Table 4"/>
      <sheetName val="ANNEX F.Table 5"/>
    </sheetNames>
    <sheetDataSet>
      <sheetData sheetId="17">
        <row r="8">
          <cell r="E8">
            <v>0.037861088910781326</v>
          </cell>
          <cell r="H8">
            <v>0.003029609042048298</v>
          </cell>
          <cell r="K8">
            <v>0.03611608488348961</v>
          </cell>
        </row>
        <row r="9">
          <cell r="E9">
            <v>0.10720642095949806</v>
          </cell>
          <cell r="H9">
            <v>0.03719348056173577</v>
          </cell>
          <cell r="K9">
            <v>0.05046967039831096</v>
          </cell>
        </row>
        <row r="10">
          <cell r="E10">
            <v>-0.027704139762878777</v>
          </cell>
          <cell r="H10">
            <v>-0.010907865078862988</v>
          </cell>
          <cell r="K10">
            <v>0.020292302717683564</v>
          </cell>
        </row>
        <row r="11">
          <cell r="H11">
            <v>0.01686102275614365</v>
          </cell>
          <cell r="K11">
            <v>0.015836058015044285</v>
          </cell>
        </row>
        <row r="12">
          <cell r="E12">
            <v>0.036964211029892224</v>
          </cell>
          <cell r="H12">
            <v>0.022396179896243762</v>
          </cell>
          <cell r="K12">
            <v>0.010923298667069536</v>
          </cell>
        </row>
        <row r="13">
          <cell r="E13">
            <v>0.03151122405133999</v>
          </cell>
          <cell r="H13">
            <v>0.02095863315848967</v>
          </cell>
          <cell r="K13">
            <v>0.002313342792795714</v>
          </cell>
        </row>
        <row r="14">
          <cell r="H14">
            <v>0.0473889232227136</v>
          </cell>
        </row>
        <row r="15">
          <cell r="E15">
            <v>0.015629002447463236</v>
          </cell>
          <cell r="H15">
            <v>0.014813952080789727</v>
          </cell>
          <cell r="K15">
            <v>0.029237508860504358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4"/>
  <sheetViews>
    <sheetView tabSelected="1" workbookViewId="0" topLeftCell="A1">
      <selection activeCell="V14" sqref="V14"/>
    </sheetView>
  </sheetViews>
  <sheetFormatPr defaultColWidth="9.140625" defaultRowHeight="12.75"/>
  <cols>
    <col min="1" max="1" width="17.7109375" style="0" customWidth="1"/>
    <col min="2" max="2" width="7.421875" style="0" customWidth="1"/>
    <col min="3" max="3" width="3.8515625" style="0" customWidth="1"/>
    <col min="4" max="4" width="7.421875" style="0" customWidth="1"/>
    <col min="5" max="5" width="4.7109375" style="0" customWidth="1"/>
    <col min="6" max="6" width="8.57421875" style="0" customWidth="1"/>
    <col min="7" max="7" width="20.28125" style="0" hidden="1" customWidth="1"/>
    <col min="8" max="8" width="12.140625" style="0" hidden="1" customWidth="1"/>
    <col min="9" max="9" width="13.8515625" style="0" hidden="1" customWidth="1"/>
    <col min="10" max="10" width="0.13671875" style="0" hidden="1" customWidth="1"/>
    <col min="11" max="11" width="4.7109375" style="0" customWidth="1"/>
    <col min="12" max="12" width="7.421875" style="0" customWidth="1"/>
    <col min="13" max="13" width="5.421875" style="0" customWidth="1"/>
    <col min="14" max="14" width="18.57421875" style="0" hidden="1" customWidth="1"/>
    <col min="15" max="15" width="0.13671875" style="0" hidden="1" customWidth="1"/>
    <col min="16" max="16" width="8.28125" style="0" customWidth="1"/>
    <col min="17" max="17" width="4.8515625" style="0" customWidth="1"/>
    <col min="18" max="18" width="8.57421875" style="0" customWidth="1"/>
    <col min="19" max="19" width="4.28125" style="0" customWidth="1"/>
    <col min="20" max="20" width="8.421875" style="0" customWidth="1"/>
    <col min="21" max="21" width="7.28125" style="0" customWidth="1"/>
    <col min="22" max="50" width="15.7109375" style="0" customWidth="1"/>
  </cols>
  <sheetData>
    <row r="1" spans="1:51" ht="15">
      <c r="A1" s="155" t="s">
        <v>541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17"/>
      <c r="AT1" s="17"/>
      <c r="AU1" s="17"/>
      <c r="AV1" s="17"/>
      <c r="AW1" s="17"/>
      <c r="AX1" s="17"/>
      <c r="AY1" s="31"/>
    </row>
    <row r="2" spans="2:51" ht="13.5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75"/>
      <c r="AT2" s="75"/>
      <c r="AU2" s="21"/>
      <c r="AV2" s="21"/>
      <c r="AW2" s="21"/>
      <c r="AX2" s="21"/>
      <c r="AY2" s="32"/>
    </row>
    <row r="3" spans="1:44" s="100" customFormat="1" ht="15">
      <c r="A3" s="517" t="s">
        <v>583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418"/>
      <c r="M3" s="418"/>
      <c r="N3" s="102"/>
      <c r="O3" s="102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</row>
    <row r="4" spans="1:44" s="100" customFormat="1" ht="19.5" customHeight="1">
      <c r="A4" s="518"/>
      <c r="B4" s="834" t="s">
        <v>316</v>
      </c>
      <c r="C4" s="834"/>
      <c r="D4" s="828" t="s">
        <v>408</v>
      </c>
      <c r="E4" s="829"/>
      <c r="F4" s="834" t="s">
        <v>410</v>
      </c>
      <c r="G4" s="834"/>
      <c r="H4" s="834"/>
      <c r="I4" s="834"/>
      <c r="J4" s="834"/>
      <c r="K4" s="834"/>
      <c r="L4" s="828" t="s">
        <v>412</v>
      </c>
      <c r="M4" s="834"/>
      <c r="N4" s="267"/>
      <c r="O4" s="464"/>
      <c r="P4" s="834" t="s">
        <v>96</v>
      </c>
      <c r="Q4" s="834"/>
      <c r="R4" s="828" t="s">
        <v>413</v>
      </c>
      <c r="S4" s="829"/>
      <c r="T4" s="519" t="s">
        <v>40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1:44" s="100" customFormat="1" ht="14.25">
      <c r="A5" s="520"/>
      <c r="B5" s="835" t="s">
        <v>144</v>
      </c>
      <c r="C5" s="835"/>
      <c r="D5" s="830" t="s">
        <v>414</v>
      </c>
      <c r="E5" s="831"/>
      <c r="F5" s="835" t="s">
        <v>76</v>
      </c>
      <c r="G5" s="835"/>
      <c r="H5" s="835"/>
      <c r="I5" s="835"/>
      <c r="J5" s="835"/>
      <c r="K5" s="835"/>
      <c r="L5" s="830" t="s">
        <v>411</v>
      </c>
      <c r="M5" s="835"/>
      <c r="N5" s="269"/>
      <c r="O5" s="270"/>
      <c r="P5" s="835" t="s">
        <v>323</v>
      </c>
      <c r="Q5" s="835"/>
      <c r="R5" s="830" t="s">
        <v>415</v>
      </c>
      <c r="S5" s="831"/>
      <c r="T5" s="268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44" s="100" customFormat="1" ht="14.25">
      <c r="A6" s="520"/>
      <c r="B6" s="835" t="s">
        <v>407</v>
      </c>
      <c r="C6" s="835"/>
      <c r="D6" s="830"/>
      <c r="E6" s="831"/>
      <c r="F6" s="835" t="s">
        <v>324</v>
      </c>
      <c r="G6" s="835"/>
      <c r="H6" s="835"/>
      <c r="I6" s="835"/>
      <c r="J6" s="835"/>
      <c r="K6" s="835"/>
      <c r="L6" s="830" t="s">
        <v>144</v>
      </c>
      <c r="M6" s="835"/>
      <c r="N6" s="269"/>
      <c r="O6" s="270"/>
      <c r="P6" s="835" t="s">
        <v>416</v>
      </c>
      <c r="Q6" s="835"/>
      <c r="R6" s="830" t="s">
        <v>80</v>
      </c>
      <c r="S6" s="831"/>
      <c r="T6" s="268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</row>
    <row r="7" spans="1:44" s="100" customFormat="1" ht="12.75">
      <c r="A7" s="521"/>
      <c r="B7" s="835" t="s">
        <v>179</v>
      </c>
      <c r="C7" s="835"/>
      <c r="D7" s="830"/>
      <c r="E7" s="831"/>
      <c r="F7" s="835" t="s">
        <v>409</v>
      </c>
      <c r="G7" s="835"/>
      <c r="H7" s="835"/>
      <c r="I7" s="835"/>
      <c r="J7" s="835"/>
      <c r="K7" s="835"/>
      <c r="L7" s="830" t="s">
        <v>536</v>
      </c>
      <c r="M7" s="835"/>
      <c r="N7" s="269"/>
      <c r="O7" s="270"/>
      <c r="P7" s="835"/>
      <c r="Q7" s="835"/>
      <c r="R7" s="119"/>
      <c r="S7" s="119"/>
      <c r="T7" s="268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</row>
    <row r="8" spans="1:44" s="100" customFormat="1" ht="14.25">
      <c r="A8" s="270" t="s">
        <v>60</v>
      </c>
      <c r="B8" s="806"/>
      <c r="C8" s="806"/>
      <c r="D8" s="807"/>
      <c r="E8" s="808"/>
      <c r="F8" s="835" t="s">
        <v>417</v>
      </c>
      <c r="G8" s="835"/>
      <c r="H8" s="835"/>
      <c r="I8" s="835"/>
      <c r="J8" s="835"/>
      <c r="K8" s="835"/>
      <c r="L8" s="830" t="s">
        <v>418</v>
      </c>
      <c r="M8" s="835"/>
      <c r="N8" s="268" t="s">
        <v>98</v>
      </c>
      <c r="O8" s="270" t="s">
        <v>99</v>
      </c>
      <c r="P8" s="835"/>
      <c r="Q8" s="835"/>
      <c r="R8" s="119"/>
      <c r="S8" s="119"/>
      <c r="T8" s="269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</row>
    <row r="9" spans="1:44" s="100" customFormat="1" ht="12.75">
      <c r="A9" s="466"/>
      <c r="B9" s="827" t="s">
        <v>44</v>
      </c>
      <c r="C9" s="827"/>
      <c r="D9" s="832" t="s">
        <v>44</v>
      </c>
      <c r="E9" s="833"/>
      <c r="F9" s="827" t="s">
        <v>44</v>
      </c>
      <c r="G9" s="827"/>
      <c r="H9" s="827"/>
      <c r="I9" s="827"/>
      <c r="J9" s="827"/>
      <c r="K9" s="827"/>
      <c r="L9" s="832" t="s">
        <v>44</v>
      </c>
      <c r="M9" s="827"/>
      <c r="N9" s="433"/>
      <c r="O9" s="465"/>
      <c r="P9" s="827" t="s">
        <v>44</v>
      </c>
      <c r="Q9" s="827"/>
      <c r="R9" s="832" t="s">
        <v>44</v>
      </c>
      <c r="S9" s="833"/>
      <c r="T9" s="529" t="s">
        <v>44</v>
      </c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9.5" customHeight="1">
      <c r="A10" s="523" t="s">
        <v>12</v>
      </c>
      <c r="B10" s="456">
        <f>0.185853175496242*100</f>
        <v>18.5853175496242</v>
      </c>
      <c r="C10" s="460"/>
      <c r="D10" s="342">
        <f>0.0283769185758653*100</f>
        <v>2.83769185758653</v>
      </c>
      <c r="E10" s="342"/>
      <c r="F10" s="456">
        <f>0.114600306071927*100</f>
        <v>11.460030607192701</v>
      </c>
      <c r="G10" s="421">
        <f>'[1]ANNEX D'!Q9</f>
        <v>0.07294864293108881</v>
      </c>
      <c r="H10" s="421"/>
      <c r="I10" s="421">
        <f>'[1]ANNEX D'!U9</f>
        <v>0.0416516631408381</v>
      </c>
      <c r="J10" s="421"/>
      <c r="K10" s="462"/>
      <c r="L10" s="342">
        <f>0.0257996129090336*100</f>
        <v>2.57996129090336</v>
      </c>
      <c r="M10" s="21"/>
      <c r="N10" s="422">
        <v>0.021150920466309585</v>
      </c>
      <c r="O10" s="422">
        <v>0.00464869244272404</v>
      </c>
      <c r="P10" s="467">
        <f>0.0156537786379799*100</f>
        <v>1.5653778637979903</v>
      </c>
      <c r="Q10" s="469"/>
      <c r="R10" s="419" t="s">
        <v>19</v>
      </c>
      <c r="S10" s="419"/>
      <c r="T10" s="524">
        <f>0.370283791691047*100</f>
        <v>37.0283791691047</v>
      </c>
      <c r="U10" s="237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ht="12.75">
      <c r="A11" s="523" t="s">
        <v>100</v>
      </c>
      <c r="B11" s="456">
        <f>0.143951612903226*100</f>
        <v>14.3951612903226</v>
      </c>
      <c r="C11" s="460"/>
      <c r="D11" s="342">
        <f>0.0179183467741935*100</f>
        <v>1.7918346774193499</v>
      </c>
      <c r="E11" s="342"/>
      <c r="F11" s="456">
        <f>0.051726310483871*100</f>
        <v>5.1726310483871005</v>
      </c>
      <c r="G11" s="421">
        <f>'[1]ANNEX D'!Q10</f>
        <v>0.05172631048387097</v>
      </c>
      <c r="H11" s="421"/>
      <c r="I11" s="421"/>
      <c r="J11" s="421"/>
      <c r="K11" s="462"/>
      <c r="L11" s="419">
        <f>0.0215851814516129*100</f>
        <v>2.15851814516129</v>
      </c>
      <c r="M11" s="21"/>
      <c r="N11" s="343"/>
      <c r="O11" s="343"/>
      <c r="P11" s="467">
        <f>0.0500302419354839*100</f>
        <v>5.003024193548391</v>
      </c>
      <c r="Q11" s="469"/>
      <c r="R11" s="342">
        <f>0.00150957661290323*100</f>
        <v>0.150957661290323</v>
      </c>
      <c r="S11" s="342"/>
      <c r="T11" s="524">
        <f>0.28672127016129*100</f>
        <v>28.672127016129</v>
      </c>
      <c r="U11" s="23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12.75">
      <c r="A12" s="523" t="s">
        <v>10</v>
      </c>
      <c r="B12" s="456">
        <f>0.0932455180540359*100</f>
        <v>9.32455180540359</v>
      </c>
      <c r="C12" s="460"/>
      <c r="D12" s="342">
        <f>0.0263978901888169*100</f>
        <v>2.63978901888169</v>
      </c>
      <c r="E12" s="342"/>
      <c r="F12" s="456">
        <f>0.0685688634514491*100</f>
        <v>6.856886345144909</v>
      </c>
      <c r="G12" s="421">
        <f>'[1]ANNEX D'!Q11</f>
        <v>0.01808068905535449</v>
      </c>
      <c r="H12" s="421">
        <f>'[1]ANNEX D'!S11</f>
        <v>0.003581348371349213</v>
      </c>
      <c r="I12" s="421">
        <f>'[1]ANNEX D'!U11</f>
        <v>0.026756305585949554</v>
      </c>
      <c r="J12" s="421">
        <f>'[1]ANNEX D'!W11</f>
        <v>0.020150520438795838</v>
      </c>
      <c r="K12" s="462"/>
      <c r="L12" s="342">
        <f>0.00618859243049126*100</f>
        <v>0.618859243049126</v>
      </c>
      <c r="M12" s="21"/>
      <c r="N12" s="422">
        <v>0.004617456443060349</v>
      </c>
      <c r="O12" s="422">
        <v>0.0015711359874309122</v>
      </c>
      <c r="P12" s="467">
        <v>0.04360239037118088</v>
      </c>
      <c r="Q12" s="469"/>
      <c r="R12" s="342">
        <f>0.0112670089498639*100</f>
        <v>1.12670089498639</v>
      </c>
      <c r="S12" s="342"/>
      <c r="T12" s="524">
        <f>0.249270263445838*100</f>
        <v>24.9270263445838</v>
      </c>
      <c r="U12" s="237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12.75">
      <c r="A13" s="523" t="s">
        <v>83</v>
      </c>
      <c r="B13" s="456">
        <f>0.120297501748141*100</f>
        <v>12.0297501748141</v>
      </c>
      <c r="C13" s="460"/>
      <c r="D13" s="342">
        <f>0.0224779098595131*100</f>
        <v>2.24779098595131</v>
      </c>
      <c r="E13" s="342"/>
      <c r="F13" s="456">
        <f>0.0932807831669951*100</f>
        <v>9.32807831669951</v>
      </c>
      <c r="G13" s="421">
        <f>'[1]ANNEX D'!Q12</f>
        <v>0.039819464751128346</v>
      </c>
      <c r="H13" s="421">
        <f>'[1]ANNEX D'!S12</f>
        <v>0.0056957599644014995</v>
      </c>
      <c r="I13" s="421">
        <f>'[1]ANNEX D'!U12</f>
        <v>0.0036806306019960587</v>
      </c>
      <c r="J13" s="421">
        <f>'[1]ANNEX D'!W12</f>
        <v>0.0440849278494692</v>
      </c>
      <c r="K13" s="462"/>
      <c r="L13" s="342">
        <f>0.0120094081749412*100</f>
        <v>1.20094081749412</v>
      </c>
      <c r="M13" s="21"/>
      <c r="N13" s="422">
        <v>0.006885766956963957</v>
      </c>
      <c r="O13" s="422">
        <v>0.005123641217977243</v>
      </c>
      <c r="P13" s="467">
        <f>0.0666098785836882*100</f>
        <v>6.660987858368821</v>
      </c>
      <c r="Q13" s="469"/>
      <c r="R13" s="342">
        <f>0.00157396224016274*100</f>
        <v>0.157396224016274</v>
      </c>
      <c r="S13" s="342"/>
      <c r="T13" s="524">
        <f>0.316249443773441*100</f>
        <v>31.6249443773441</v>
      </c>
      <c r="U13" s="237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2.75">
      <c r="A14" s="523" t="s">
        <v>84</v>
      </c>
      <c r="B14" s="456">
        <f>0.0840733032720546*100</f>
        <v>8.407330327205461</v>
      </c>
      <c r="C14" s="460"/>
      <c r="D14" s="342">
        <f>0.0211087987050526*100</f>
        <v>2.11087987050526</v>
      </c>
      <c r="E14" s="342"/>
      <c r="F14" s="456">
        <f>0.0532373684819054*100</f>
        <v>5.323736848190539</v>
      </c>
      <c r="G14" s="421">
        <f>'[1]ANNEX D'!Q13</f>
        <v>0.03824141519250781</v>
      </c>
      <c r="H14" s="421">
        <f>'[1]ANNEX D'!S13</f>
        <v>0.01499595328939762</v>
      </c>
      <c r="I14" s="421"/>
      <c r="J14" s="421"/>
      <c r="K14" s="462"/>
      <c r="L14" s="419">
        <f>0.0182833275523182*100</f>
        <v>1.82833275523182</v>
      </c>
      <c r="M14" s="21"/>
      <c r="N14" s="343"/>
      <c r="O14" s="343"/>
      <c r="P14" s="467">
        <v>4.360239037118088</v>
      </c>
      <c r="Q14" s="469"/>
      <c r="R14" s="342">
        <f>0.00547288703896404*100</f>
        <v>0.547288703896404</v>
      </c>
      <c r="S14" s="342"/>
      <c r="T14" s="524">
        <f>0.226326453925309*100</f>
        <v>22.6326453925309</v>
      </c>
      <c r="U14" s="237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12.75">
      <c r="A15" s="523" t="s">
        <v>85</v>
      </c>
      <c r="B15" s="456">
        <f>0.151955392433653*100</f>
        <v>15.1955392433653</v>
      </c>
      <c r="C15" s="460"/>
      <c r="D15" s="342">
        <f>0.0181095426312818*100</f>
        <v>1.81095426312818</v>
      </c>
      <c r="E15" s="342"/>
      <c r="F15" s="456">
        <f>0.079459853190288*100</f>
        <v>7.9459853190288</v>
      </c>
      <c r="G15" s="421">
        <f>'[1]ANNEX D'!Q14</f>
        <v>0.07945985319028796</v>
      </c>
      <c r="H15" s="421"/>
      <c r="I15" s="421"/>
      <c r="J15" s="421"/>
      <c r="K15" s="462"/>
      <c r="L15" s="419" t="s">
        <v>19</v>
      </c>
      <c r="M15" s="21"/>
      <c r="N15" s="343"/>
      <c r="O15" s="343"/>
      <c r="P15" s="467">
        <f>0.0471796725014116*100</f>
        <v>4.71796725014116</v>
      </c>
      <c r="Q15" s="469"/>
      <c r="R15" s="342">
        <f>0.00199593450028233*100</f>
        <v>0.19959345002823298</v>
      </c>
      <c r="S15" s="342"/>
      <c r="T15" s="524">
        <f>0.298700395256917*100</f>
        <v>29.8700395256917</v>
      </c>
      <c r="U15" s="237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ht="12.75">
      <c r="A16" s="523" t="s">
        <v>11</v>
      </c>
      <c r="B16" s="456">
        <f>0.126726440684985*100</f>
        <v>12.672644068498501</v>
      </c>
      <c r="C16" s="460"/>
      <c r="D16" s="342">
        <f>0.0260650611889922*100</f>
        <v>2.6065061188992202</v>
      </c>
      <c r="E16" s="342"/>
      <c r="F16" s="456">
        <f>0.0775210693061106*100</f>
        <v>7.75210693061106</v>
      </c>
      <c r="G16" s="421">
        <f>'[1]ANNEX D'!Q15</f>
        <v>0.0484997825771851</v>
      </c>
      <c r="H16" s="421"/>
      <c r="I16" s="421">
        <f>'[1]ANNEX D'!U15</f>
        <v>0.029021286728925517</v>
      </c>
      <c r="J16" s="421"/>
      <c r="K16" s="462"/>
      <c r="L16" s="419">
        <f>0.0169993580850227*100</f>
        <v>1.69993580850227</v>
      </c>
      <c r="M16" s="21"/>
      <c r="N16" s="343"/>
      <c r="O16" s="343"/>
      <c r="P16" s="467">
        <f>0.0322763133373367*100</f>
        <v>3.22763133373367</v>
      </c>
      <c r="Q16" s="469"/>
      <c r="R16" s="342">
        <f>0.00450707141821796*100</f>
        <v>0.450707141821796</v>
      </c>
      <c r="S16" s="342"/>
      <c r="T16" s="524">
        <f>0.284095314020665*100</f>
        <v>28.409531402066502</v>
      </c>
      <c r="U16" s="237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2.75">
      <c r="A17" s="523" t="s">
        <v>13</v>
      </c>
      <c r="B17" s="456">
        <f>0.147395649758353*100</f>
        <v>14.7395649758353</v>
      </c>
      <c r="C17" s="460"/>
      <c r="D17" s="342">
        <f>0.0153514619651196*100</f>
        <v>1.5351461965119602</v>
      </c>
      <c r="E17" s="342"/>
      <c r="F17" s="456">
        <f>0.0754270706443139*100</f>
        <v>7.542707064431391</v>
      </c>
      <c r="G17" s="421"/>
      <c r="H17" s="421"/>
      <c r="I17" s="421"/>
      <c r="J17" s="421"/>
      <c r="K17" s="462"/>
      <c r="L17" s="419">
        <f>0.0103278457934865*100</f>
        <v>1.0327845793486499</v>
      </c>
      <c r="M17" s="21"/>
      <c r="N17" s="343"/>
      <c r="O17" s="343"/>
      <c r="P17" s="467">
        <f>0.0328083665929335*100</f>
        <v>3.28083665929335</v>
      </c>
      <c r="Q17" s="469"/>
      <c r="R17" s="419" t="s">
        <v>19</v>
      </c>
      <c r="S17" s="419"/>
      <c r="T17" s="524">
        <f>0.281310394754207*100</f>
        <v>28.1310394754207</v>
      </c>
      <c r="U17" s="237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2.75">
      <c r="A18" s="523" t="s">
        <v>20</v>
      </c>
      <c r="B18" s="456">
        <f>0.137327671021333*100</f>
        <v>13.7327671021333</v>
      </c>
      <c r="C18" s="460"/>
      <c r="D18" s="342">
        <f>0.0312340436130864*100</f>
        <v>3.12340436130864</v>
      </c>
      <c r="E18" s="342"/>
      <c r="F18" s="456">
        <f>0.0914044111237033*100</f>
        <v>9.14044111237033</v>
      </c>
      <c r="G18" s="421">
        <f>'[1]ANNEX D'!Q17</f>
        <v>0.036016289525137926</v>
      </c>
      <c r="H18" s="421">
        <f>'[1]ANNEX D'!S17</f>
        <v>0.010934406017659439</v>
      </c>
      <c r="I18" s="421">
        <f>'[1]ANNEX D'!U17</f>
        <v>0.02155746790041969</v>
      </c>
      <c r="J18" s="421">
        <f>'[1]ANNEX D'!W17</f>
        <v>0.022896247680486197</v>
      </c>
      <c r="K18" s="462"/>
      <c r="L18" s="342">
        <f>0.00620695667335019*100</f>
        <v>0.620695667335019</v>
      </c>
      <c r="M18" s="21"/>
      <c r="N18" s="422">
        <v>0.00355679539708831</v>
      </c>
      <c r="O18" s="422">
        <v>0.002650161276261878</v>
      </c>
      <c r="P18" s="467">
        <f>0.043418807676501*100</f>
        <v>4.3418807676501</v>
      </c>
      <c r="Q18" s="469"/>
      <c r="R18" s="342">
        <f>0.00236870617831301*100</f>
        <v>0.236870617831301</v>
      </c>
      <c r="S18" s="342"/>
      <c r="T18" s="524">
        <f>0.311960596286287*100</f>
        <v>31.196059628628696</v>
      </c>
      <c r="U18" s="237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2.75">
      <c r="A19" s="523" t="s">
        <v>101</v>
      </c>
      <c r="B19" s="456">
        <f>0.0950176034964186*100</f>
        <v>9.501760349641861</v>
      </c>
      <c r="C19" s="460"/>
      <c r="D19" s="342">
        <f>0.0223564404516207*100</f>
        <v>2.2356440451620703</v>
      </c>
      <c r="E19" s="342"/>
      <c r="F19" s="456">
        <f>0.0720529318926794*100</f>
        <v>7.20529318926794</v>
      </c>
      <c r="G19" s="421">
        <f>'[1]ANNEX D'!Q18</f>
        <v>0.038776253490348425</v>
      </c>
      <c r="H19" s="421">
        <f>'[1]ANNEX D'!S18</f>
        <v>0.008134029379628505</v>
      </c>
      <c r="I19" s="421">
        <f>'[1]ANNEX D'!U18</f>
        <v>0.004951438630569382</v>
      </c>
      <c r="J19" s="421">
        <f>'[1]ANNEX D'!W18</f>
        <v>0.02019121039213306</v>
      </c>
      <c r="K19" s="462"/>
      <c r="L19" s="342">
        <f>0.00827170086196431*100</f>
        <v>0.8271700861964311</v>
      </c>
      <c r="M19" s="21"/>
      <c r="N19" s="422">
        <v>0.006176034964185991</v>
      </c>
      <c r="O19" s="422">
        <v>0.0020956658977783174</v>
      </c>
      <c r="P19" s="467">
        <f>0.0646283841204322*100</f>
        <v>6.4628384120432205</v>
      </c>
      <c r="Q19" s="469"/>
      <c r="R19" s="419" t="s">
        <v>19</v>
      </c>
      <c r="S19" s="419"/>
      <c r="T19" s="524">
        <f>0.262327060823115*100</f>
        <v>26.232706082311502</v>
      </c>
      <c r="U19" s="237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12.75">
      <c r="A20" s="523" t="s">
        <v>87</v>
      </c>
      <c r="B20" s="456">
        <f>0.130366359252052*100</f>
        <v>13.0366359252052</v>
      </c>
      <c r="C20" s="460"/>
      <c r="D20" s="342">
        <f>0.01961248836619*100</f>
        <v>1.961248836619</v>
      </c>
      <c r="E20" s="342"/>
      <c r="F20" s="456">
        <f>0.15459852779423*100</f>
        <v>15.459852779423</v>
      </c>
      <c r="G20" s="421">
        <f>'[1]ANNEX D'!Q19</f>
        <v>0.07005668838311194</v>
      </c>
      <c r="H20" s="421"/>
      <c r="I20" s="421">
        <f>'[1]ANNEX D'!U19</f>
        <v>0.05805059649716558</v>
      </c>
      <c r="J20" s="421">
        <f>'[1]ANNEX D'!W19</f>
        <v>0.02649124291395211</v>
      </c>
      <c r="K20" s="462"/>
      <c r="L20" s="419">
        <f>0.00460275827058127*100</f>
        <v>0.46027582705812703</v>
      </c>
      <c r="M20" s="21"/>
      <c r="N20" s="350"/>
      <c r="O20" s="422" t="s">
        <v>19</v>
      </c>
      <c r="P20" s="467">
        <f>0.0552899568491412*100</f>
        <v>5.52899568491412</v>
      </c>
      <c r="Q20" s="469"/>
      <c r="R20" s="342">
        <f>0.00190405279634487*100</f>
        <v>0.190405279634487</v>
      </c>
      <c r="S20" s="342"/>
      <c r="T20" s="524">
        <f>0.366374143328539*100</f>
        <v>36.6374143328539</v>
      </c>
      <c r="U20" s="237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2.75">
      <c r="A21" s="523" t="s">
        <v>28</v>
      </c>
      <c r="B21" s="456">
        <f>0.158821454468041*100</f>
        <v>15.882145446804099</v>
      </c>
      <c r="C21" s="460"/>
      <c r="D21" s="342">
        <f>0.0510837701394294*100</f>
        <v>5.10837701394294</v>
      </c>
      <c r="E21" s="342"/>
      <c r="F21" s="456">
        <f>0.0285697393918904*100</f>
        <v>2.85697393918904</v>
      </c>
      <c r="G21" s="421">
        <f>'[1]ANNEX D'!Q20</f>
        <v>0.0285697393918904</v>
      </c>
      <c r="H21" s="421"/>
      <c r="I21" s="421"/>
      <c r="J21" s="421"/>
      <c r="K21" s="462"/>
      <c r="L21" s="419">
        <f>0.00354715282578622*100</f>
        <v>0.354715282578622</v>
      </c>
      <c r="M21" s="21"/>
      <c r="N21" s="343"/>
      <c r="O21" s="343"/>
      <c r="P21" s="467">
        <f>0.034233707428639*100</f>
        <v>3.4233707428639</v>
      </c>
      <c r="Q21" s="469"/>
      <c r="R21" s="342">
        <f>0.000450608514508189*100</f>
        <v>0.0450608514508189</v>
      </c>
      <c r="S21" s="342"/>
      <c r="T21" s="524">
        <f>0.276706432768294*100</f>
        <v>27.6706432768294</v>
      </c>
      <c r="U21" s="237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2.75">
      <c r="A22" s="523" t="s">
        <v>102</v>
      </c>
      <c r="B22" s="456">
        <f>0.120987830657602*100</f>
        <v>12.0987830657602</v>
      </c>
      <c r="C22" s="460"/>
      <c r="D22" s="342">
        <f>0.0290435925269954*100</f>
        <v>2.90435925269954</v>
      </c>
      <c r="E22" s="342"/>
      <c r="F22" s="456">
        <f>0.0903982174484374*100</f>
        <v>9.03982174484374</v>
      </c>
      <c r="G22" s="421"/>
      <c r="H22" s="421"/>
      <c r="I22" s="421"/>
      <c r="J22" s="421"/>
      <c r="K22" s="462"/>
      <c r="L22" s="419" t="s">
        <v>19</v>
      </c>
      <c r="M22" s="21"/>
      <c r="N22" s="343"/>
      <c r="O22" s="343"/>
      <c r="P22" s="467" t="s">
        <v>19</v>
      </c>
      <c r="Q22" s="469"/>
      <c r="R22" s="420" t="s">
        <v>19</v>
      </c>
      <c r="S22" s="420"/>
      <c r="T22" s="524">
        <f>0.240429640633034*100</f>
        <v>24.042964063303398</v>
      </c>
      <c r="U22" s="237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3.5" thickBot="1">
      <c r="A23" s="525" t="s">
        <v>52</v>
      </c>
      <c r="B23" s="471">
        <f>0.154533788947042*100</f>
        <v>15.453378894704201</v>
      </c>
      <c r="C23" s="472"/>
      <c r="D23" s="473">
        <f>0.027134968352149*100</f>
        <v>2.7134968352149</v>
      </c>
      <c r="E23" s="473"/>
      <c r="F23" s="471">
        <f>0.132051198869617*100</f>
        <v>13.2051198869617</v>
      </c>
      <c r="G23" s="474">
        <f>'[1]ANNEX D'!Q22</f>
        <v>0.046426460198682185</v>
      </c>
      <c r="H23" s="474">
        <f>'[1]ANNEX D'!S22</f>
        <v>0.021540724079761236</v>
      </c>
      <c r="I23" s="474">
        <f>'[1]ANNEX D'!U22</f>
        <v>0.0260272935680609</v>
      </c>
      <c r="J23" s="474">
        <f>'[1]ANNEX D'!W22</f>
        <v>0.038056721023112305</v>
      </c>
      <c r="K23" s="475"/>
      <c r="L23" s="473">
        <f>0.0180140432833023*100</f>
        <v>1.80140432833023</v>
      </c>
      <c r="M23" s="476"/>
      <c r="N23" s="477">
        <v>0.015790763729688427</v>
      </c>
      <c r="O23" s="477">
        <v>0.0022232795536139107</v>
      </c>
      <c r="P23" s="478">
        <f>0.0476952578687083*100</f>
        <v>4.76952578687083</v>
      </c>
      <c r="Q23" s="479"/>
      <c r="R23" s="480" t="s">
        <v>19</v>
      </c>
      <c r="S23" s="480"/>
      <c r="T23" s="526">
        <f>0.379429257320818*100</f>
        <v>37.942925732081804</v>
      </c>
      <c r="U23" s="237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19.5" customHeight="1" thickTop="1">
      <c r="A24" s="527" t="s">
        <v>315</v>
      </c>
      <c r="B24" s="457">
        <f>0.132182378728084*100</f>
        <v>13.2182378728084</v>
      </c>
      <c r="C24" s="461"/>
      <c r="D24" s="384">
        <f>0.0254479452384504*100</f>
        <v>2.5447945238450402</v>
      </c>
      <c r="E24" s="384"/>
      <c r="F24" s="457">
        <f>0.0844926179512441*100</f>
        <v>8.44926179512441</v>
      </c>
      <c r="G24" s="423"/>
      <c r="H24" s="423"/>
      <c r="I24" s="423"/>
      <c r="J24" s="423"/>
      <c r="K24" s="463"/>
      <c r="L24" s="384">
        <f>0.0126529948593242*100</f>
        <v>1.26529948593242</v>
      </c>
      <c r="M24" s="34"/>
      <c r="N24" s="424"/>
      <c r="O24" s="424"/>
      <c r="P24" s="468">
        <f>0.0444290403675731*100</f>
        <v>4.44290403675731</v>
      </c>
      <c r="Q24" s="470"/>
      <c r="R24" s="383">
        <f>0.00344997869439559*100</f>
        <v>0.344997869439559</v>
      </c>
      <c r="S24" s="383"/>
      <c r="T24" s="528">
        <f>0.296441747013486*100</f>
        <v>29.644174701348604</v>
      </c>
      <c r="U24" s="237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51" ht="18" customHeight="1">
      <c r="A25" s="276" t="s">
        <v>419</v>
      </c>
      <c r="B25" s="21"/>
      <c r="C25" s="21"/>
      <c r="D25" s="108"/>
      <c r="E25" s="10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06"/>
      <c r="W25" s="21"/>
      <c r="X25" s="21"/>
      <c r="Y25" s="21"/>
      <c r="Z25" s="21"/>
      <c r="AA25" s="21"/>
      <c r="AB25" s="21"/>
      <c r="AC25" s="21"/>
      <c r="AD25" s="21"/>
      <c r="AE25" s="21"/>
      <c r="AF25" s="106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32"/>
    </row>
    <row r="26" spans="1:51" ht="13.5">
      <c r="A26" s="425" t="s">
        <v>542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32"/>
    </row>
    <row r="27" spans="1:51" ht="12.75">
      <c r="A27" s="426" t="s">
        <v>543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2"/>
    </row>
    <row r="28" spans="1:51" ht="13.5">
      <c r="A28" s="425" t="s">
        <v>544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32"/>
    </row>
    <row r="29" spans="1:51" ht="12.75">
      <c r="A29" s="426" t="s">
        <v>545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32"/>
    </row>
    <row r="30" spans="1:51" ht="12.75">
      <c r="A30" s="426" t="s">
        <v>548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2"/>
    </row>
    <row r="31" spans="1:51" ht="13.5">
      <c r="A31" s="425" t="s">
        <v>546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32"/>
    </row>
    <row r="32" spans="1:51" ht="12.75">
      <c r="A32" s="426" t="s">
        <v>547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2"/>
    </row>
    <row r="33" spans="1:51" ht="13.5">
      <c r="A33" s="425" t="s">
        <v>420</v>
      </c>
      <c r="B33" s="427"/>
      <c r="C33" s="427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32"/>
    </row>
    <row r="34" spans="1:51" ht="13.5">
      <c r="A34" s="425" t="s">
        <v>421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32"/>
    </row>
    <row r="35" spans="1:51" ht="12.75">
      <c r="A35" s="426" t="s">
        <v>104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34"/>
      <c r="AT35" s="34"/>
      <c r="AU35" s="34"/>
      <c r="AV35" s="34"/>
      <c r="AW35" s="34"/>
      <c r="AX35" s="34"/>
      <c r="AY35" s="35"/>
    </row>
    <row r="36" spans="1:44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</row>
    <row r="41" spans="1:4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</row>
    <row r="42" spans="1:44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1:44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4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4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</row>
    <row r="47" spans="1:44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</row>
    <row r="49" spans="1:4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</row>
    <row r="50" spans="1:4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</row>
    <row r="51" spans="1:44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</row>
    <row r="54" spans="1:44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</row>
    <row r="55" spans="1:44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</row>
    <row r="56" spans="1:44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</row>
    <row r="61" spans="1:44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</row>
    <row r="64" spans="1:44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</row>
    <row r="66" spans="1:44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</row>
    <row r="67" spans="1:4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1:44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</row>
    <row r="74" spans="1:44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</sheetData>
  <mergeCells count="33">
    <mergeCell ref="B4:C4"/>
    <mergeCell ref="B5:C5"/>
    <mergeCell ref="B6:C6"/>
    <mergeCell ref="B7:C7"/>
    <mergeCell ref="F8:K8"/>
    <mergeCell ref="F9:K9"/>
    <mergeCell ref="D4:E4"/>
    <mergeCell ref="D5:E5"/>
    <mergeCell ref="D6:E6"/>
    <mergeCell ref="D7:E7"/>
    <mergeCell ref="B9:C9"/>
    <mergeCell ref="B8:C8"/>
    <mergeCell ref="D8:E8"/>
    <mergeCell ref="D9:E9"/>
    <mergeCell ref="L8:M8"/>
    <mergeCell ref="L9:M9"/>
    <mergeCell ref="F4:K4"/>
    <mergeCell ref="F5:K5"/>
    <mergeCell ref="L4:M4"/>
    <mergeCell ref="L5:M5"/>
    <mergeCell ref="L6:M6"/>
    <mergeCell ref="L7:M7"/>
    <mergeCell ref="F6:K6"/>
    <mergeCell ref="F7:K7"/>
    <mergeCell ref="P9:Q9"/>
    <mergeCell ref="R4:S4"/>
    <mergeCell ref="R5:S5"/>
    <mergeCell ref="R6:S6"/>
    <mergeCell ref="R9:S9"/>
    <mergeCell ref="P4:Q4"/>
    <mergeCell ref="P5:Q5"/>
    <mergeCell ref="P6:Q6"/>
    <mergeCell ref="P7:Q8"/>
  </mergeCells>
  <printOptions horizontalCentered="1" verticalCentered="1"/>
  <pageMargins left="0.5905511811023623" right="0.5905511811023623" top="0.984251968503937" bottom="1.220472440944882" header="0" footer="0.5118110236220472"/>
  <pageSetup fitToHeight="1" fitToWidth="1" horizontalDpi="600" verticalDpi="600" orientation="portrait" paperSize="9" scale="90" r:id="rId1"/>
  <headerFooter alignWithMargins="0">
    <oddFooter>&amp;R14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30">
      <selection activeCell="B51" sqref="B51"/>
    </sheetView>
  </sheetViews>
  <sheetFormatPr defaultColWidth="9.140625" defaultRowHeight="12.75"/>
  <cols>
    <col min="1" max="1" width="5.8515625" style="0" customWidth="1"/>
    <col min="2" max="2" width="10.28125" style="99" customWidth="1"/>
    <col min="3" max="3" width="3.8515625" style="99" customWidth="1"/>
    <col min="4" max="4" width="11.28125" style="99" customWidth="1"/>
    <col min="5" max="5" width="3.140625" style="99" customWidth="1"/>
    <col min="15" max="15" width="6.7109375" style="0" customWidth="1"/>
    <col min="16" max="16" width="8.00390625" style="0" customWidth="1"/>
    <col min="17" max="17" width="31.7109375" style="0" customWidth="1"/>
  </cols>
  <sheetData>
    <row r="1" spans="1:16" ht="15.75">
      <c r="A1" s="21"/>
      <c r="B1" s="199" t="s">
        <v>502</v>
      </c>
      <c r="C1" s="199"/>
      <c r="D1" s="230"/>
      <c r="E1" s="23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1"/>
      <c r="B2" s="234" t="s">
        <v>360</v>
      </c>
      <c r="C2" s="234"/>
      <c r="D2" s="230"/>
      <c r="E2" s="23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/>
      <c r="B3" s="94"/>
      <c r="C3" s="94"/>
      <c r="D3" s="230"/>
      <c r="E3" s="23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3.25" customHeight="1">
      <c r="A4" s="21"/>
      <c r="B4" s="385" t="s">
        <v>50</v>
      </c>
      <c r="C4" s="385"/>
      <c r="D4" s="233" t="s">
        <v>283</v>
      </c>
      <c r="E4" s="233"/>
      <c r="F4" s="397" t="s">
        <v>359</v>
      </c>
      <c r="G4" s="36"/>
      <c r="H4" s="36"/>
      <c r="I4" s="36"/>
      <c r="J4" s="36"/>
      <c r="K4" s="36"/>
      <c r="L4" s="36"/>
      <c r="M4" s="36"/>
      <c r="N4" s="36"/>
      <c r="O4" s="36"/>
      <c r="P4" s="21"/>
    </row>
    <row r="5" spans="1:16" ht="19.5" customHeight="1">
      <c r="A5" s="21"/>
      <c r="B5" s="229">
        <v>883</v>
      </c>
      <c r="C5" s="229"/>
      <c r="D5" s="390">
        <v>37.06</v>
      </c>
      <c r="E5" s="390"/>
      <c r="F5" s="94" t="s">
        <v>370</v>
      </c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1"/>
      <c r="B6" s="229"/>
      <c r="C6" s="229"/>
      <c r="D6" s="390"/>
      <c r="E6" s="390"/>
      <c r="F6" s="94"/>
      <c r="G6" s="94" t="s">
        <v>371</v>
      </c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1"/>
      <c r="B7" s="327">
        <v>883.1</v>
      </c>
      <c r="C7" s="327"/>
      <c r="D7" s="391">
        <v>3706.1</v>
      </c>
      <c r="E7" s="391"/>
      <c r="F7" s="21"/>
      <c r="G7" s="21" t="s">
        <v>284</v>
      </c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1"/>
      <c r="B8" s="327">
        <v>883.9</v>
      </c>
      <c r="C8" s="327"/>
      <c r="D8" s="391">
        <v>3706.9</v>
      </c>
      <c r="E8" s="391"/>
      <c r="F8" s="21"/>
      <c r="G8" s="21" t="s">
        <v>285</v>
      </c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21"/>
      <c r="B9" s="98"/>
      <c r="C9" s="98"/>
      <c r="D9" s="389"/>
      <c r="E9" s="389"/>
      <c r="F9" s="34"/>
      <c r="G9" s="34"/>
      <c r="H9" s="34"/>
      <c r="I9" s="34"/>
      <c r="J9" s="34"/>
      <c r="K9" s="34"/>
      <c r="L9" s="34"/>
      <c r="M9" s="34"/>
      <c r="N9" s="34"/>
      <c r="O9" s="34"/>
      <c r="P9" s="21"/>
    </row>
    <row r="10" spans="1:16" ht="17.25" customHeight="1">
      <c r="A10" s="21"/>
      <c r="B10" s="229">
        <v>892</v>
      </c>
      <c r="C10" s="229"/>
      <c r="D10" s="390"/>
      <c r="E10" s="390"/>
      <c r="F10" s="229" t="s">
        <v>286</v>
      </c>
      <c r="G10" s="229"/>
      <c r="H10" s="229"/>
      <c r="I10" s="21"/>
      <c r="J10" s="21"/>
      <c r="K10" s="21"/>
      <c r="L10" s="21"/>
      <c r="M10" s="21"/>
      <c r="N10" s="21"/>
      <c r="O10" s="21"/>
      <c r="P10" s="21"/>
    </row>
    <row r="11" spans="1:16" ht="16.5" customHeight="1">
      <c r="A11" s="21"/>
      <c r="B11" s="327">
        <v>892.1</v>
      </c>
      <c r="C11" s="327"/>
      <c r="D11" s="391"/>
      <c r="E11" s="391"/>
      <c r="F11" s="21" t="s">
        <v>394</v>
      </c>
      <c r="G11" s="231"/>
      <c r="H11" s="231"/>
      <c r="I11" s="231"/>
      <c r="J11" s="231"/>
      <c r="K11" s="232"/>
      <c r="L11" s="21"/>
      <c r="M11" s="21"/>
      <c r="N11" s="21"/>
      <c r="O11" s="21"/>
      <c r="P11" s="21"/>
    </row>
    <row r="12" spans="1:16" ht="12.75">
      <c r="A12" s="21"/>
      <c r="B12" s="327">
        <v>892.12</v>
      </c>
      <c r="C12" s="327"/>
      <c r="D12" s="391">
        <v>4903</v>
      </c>
      <c r="E12" s="391"/>
      <c r="F12" s="231" t="s">
        <v>287</v>
      </c>
      <c r="G12" s="231"/>
      <c r="H12" s="231"/>
      <c r="I12" s="231"/>
      <c r="J12" s="231"/>
      <c r="K12" s="232"/>
      <c r="L12" s="21"/>
      <c r="M12" s="21"/>
      <c r="N12" s="21"/>
      <c r="O12" s="21"/>
      <c r="P12" s="21"/>
    </row>
    <row r="13" spans="1:16" ht="12.75">
      <c r="A13" s="21"/>
      <c r="B13" s="327">
        <v>892.13</v>
      </c>
      <c r="C13" s="327"/>
      <c r="D13" s="391">
        <v>4905.91</v>
      </c>
      <c r="E13" s="391"/>
      <c r="F13" s="231" t="s">
        <v>288</v>
      </c>
      <c r="G13" s="231"/>
      <c r="H13" s="231"/>
      <c r="I13" s="231"/>
      <c r="J13" s="231"/>
      <c r="K13" s="232"/>
      <c r="L13" s="21"/>
      <c r="M13" s="21"/>
      <c r="N13" s="21"/>
      <c r="O13" s="21"/>
      <c r="P13" s="21"/>
    </row>
    <row r="14" spans="1:16" ht="12.75">
      <c r="A14" s="21"/>
      <c r="B14" s="327">
        <v>892.14</v>
      </c>
      <c r="C14" s="327"/>
      <c r="D14" s="392" t="s">
        <v>372</v>
      </c>
      <c r="E14" s="392"/>
      <c r="F14" s="231" t="s">
        <v>364</v>
      </c>
      <c r="G14" s="231"/>
      <c r="H14" s="231"/>
      <c r="I14" s="231"/>
      <c r="J14" s="231"/>
      <c r="K14" s="232"/>
      <c r="L14" s="21"/>
      <c r="M14" s="21"/>
      <c r="N14" s="21"/>
      <c r="O14" s="21"/>
      <c r="P14" s="21"/>
    </row>
    <row r="15" spans="1:16" ht="12.75">
      <c r="A15" s="21"/>
      <c r="B15" s="327"/>
      <c r="C15" s="327"/>
      <c r="D15" s="391">
        <v>4905.99</v>
      </c>
      <c r="E15" s="391"/>
      <c r="F15" s="231"/>
      <c r="G15" s="231" t="s">
        <v>365</v>
      </c>
      <c r="H15" s="231"/>
      <c r="I15" s="231"/>
      <c r="J15" s="231"/>
      <c r="K15" s="232"/>
      <c r="L15" s="21"/>
      <c r="M15" s="21"/>
      <c r="N15" s="21"/>
      <c r="O15" s="21"/>
      <c r="P15" s="21"/>
    </row>
    <row r="16" spans="1:16" ht="12.75">
      <c r="A16" s="21"/>
      <c r="B16" s="327">
        <v>892.15</v>
      </c>
      <c r="C16" s="327"/>
      <c r="D16" s="391">
        <v>4901.1</v>
      </c>
      <c r="E16" s="391"/>
      <c r="F16" s="231" t="s">
        <v>289</v>
      </c>
      <c r="G16" s="231"/>
      <c r="H16" s="231"/>
      <c r="I16" s="231"/>
      <c r="J16" s="231"/>
      <c r="K16" s="232"/>
      <c r="L16" s="21"/>
      <c r="M16" s="21"/>
      <c r="N16" s="21"/>
      <c r="O16" s="21"/>
      <c r="P16" s="21"/>
    </row>
    <row r="17" spans="1:16" ht="12.75">
      <c r="A17" s="21"/>
      <c r="B17" s="327">
        <v>892.16</v>
      </c>
      <c r="C17" s="327"/>
      <c r="D17" s="391">
        <v>4901.91</v>
      </c>
      <c r="E17" s="391"/>
      <c r="F17" s="231" t="s">
        <v>290</v>
      </c>
      <c r="G17" s="231"/>
      <c r="H17" s="231"/>
      <c r="I17" s="231"/>
      <c r="J17" s="231"/>
      <c r="K17" s="232"/>
      <c r="L17" s="21"/>
      <c r="M17" s="21"/>
      <c r="N17" s="21"/>
      <c r="O17" s="21"/>
      <c r="P17" s="21"/>
    </row>
    <row r="18" spans="1:16" ht="12.75">
      <c r="A18" s="21"/>
      <c r="B18" s="327">
        <v>892.19</v>
      </c>
      <c r="C18" s="327"/>
      <c r="D18" s="391">
        <v>4901.99</v>
      </c>
      <c r="E18" s="391"/>
      <c r="F18" s="231" t="s">
        <v>291</v>
      </c>
      <c r="G18" s="231"/>
      <c r="H18" s="231"/>
      <c r="I18" s="231"/>
      <c r="J18" s="231"/>
      <c r="K18" s="232"/>
      <c r="L18" s="21"/>
      <c r="M18" s="21"/>
      <c r="N18" s="21"/>
      <c r="O18" s="21"/>
      <c r="P18" s="21"/>
    </row>
    <row r="19" spans="1:16" ht="12.75">
      <c r="A19" s="21"/>
      <c r="B19" s="327">
        <v>892.2</v>
      </c>
      <c r="C19" s="327"/>
      <c r="D19" s="391">
        <v>49.02</v>
      </c>
      <c r="E19" s="391"/>
      <c r="F19" s="231" t="s">
        <v>292</v>
      </c>
      <c r="G19" s="231"/>
      <c r="H19" s="231"/>
      <c r="I19" s="231"/>
      <c r="J19" s="231"/>
      <c r="K19" s="232"/>
      <c r="L19" s="21"/>
      <c r="M19" s="21"/>
      <c r="N19" s="21"/>
      <c r="O19" s="21"/>
      <c r="P19" s="21"/>
    </row>
    <row r="20" spans="1:16" ht="12.75">
      <c r="A20" s="21"/>
      <c r="B20" s="327">
        <v>892.21</v>
      </c>
      <c r="C20" s="327"/>
      <c r="D20" s="391">
        <v>4902.1</v>
      </c>
      <c r="E20" s="391"/>
      <c r="F20" s="231"/>
      <c r="G20" s="231" t="s">
        <v>293</v>
      </c>
      <c r="H20" s="231"/>
      <c r="I20" s="231"/>
      <c r="J20" s="231"/>
      <c r="K20" s="232"/>
      <c r="L20" s="21"/>
      <c r="M20" s="21"/>
      <c r="N20" s="21"/>
      <c r="O20" s="21"/>
      <c r="P20" s="21"/>
    </row>
    <row r="21" spans="1:16" ht="12.75">
      <c r="A21" s="21"/>
      <c r="B21" s="327">
        <v>892.29</v>
      </c>
      <c r="C21" s="327"/>
      <c r="D21" s="391">
        <v>4902.9</v>
      </c>
      <c r="E21" s="391"/>
      <c r="F21" s="231"/>
      <c r="G21" s="231" t="s">
        <v>285</v>
      </c>
      <c r="H21" s="231"/>
      <c r="I21" s="231"/>
      <c r="J21" s="231"/>
      <c r="K21" s="232"/>
      <c r="L21" s="21"/>
      <c r="M21" s="21"/>
      <c r="N21" s="21"/>
      <c r="O21" s="21"/>
      <c r="P21" s="21"/>
    </row>
    <row r="22" spans="1:16" ht="12.75">
      <c r="A22" s="21"/>
      <c r="B22" s="327">
        <v>892.4</v>
      </c>
      <c r="C22" s="327"/>
      <c r="D22" s="391"/>
      <c r="E22" s="391"/>
      <c r="F22" s="231" t="s">
        <v>366</v>
      </c>
      <c r="G22" s="231"/>
      <c r="H22" s="231"/>
      <c r="I22" s="231"/>
      <c r="J22" s="231"/>
      <c r="K22" s="231"/>
      <c r="L22" s="182"/>
      <c r="M22" s="182"/>
      <c r="N22" s="21"/>
      <c r="O22" s="21"/>
      <c r="P22" s="21"/>
    </row>
    <row r="23" spans="1:16" ht="12.75">
      <c r="A23" s="21"/>
      <c r="B23" s="327"/>
      <c r="C23" s="327"/>
      <c r="D23" s="391"/>
      <c r="E23" s="391"/>
      <c r="F23" s="231"/>
      <c r="G23" s="231" t="s">
        <v>367</v>
      </c>
      <c r="H23" s="231"/>
      <c r="I23" s="231"/>
      <c r="J23" s="231"/>
      <c r="K23" s="231"/>
      <c r="L23" s="182"/>
      <c r="M23" s="182"/>
      <c r="N23" s="21"/>
      <c r="O23" s="21"/>
      <c r="P23" s="21"/>
    </row>
    <row r="24" spans="1:16" ht="12.75">
      <c r="A24" s="21"/>
      <c r="B24" s="327">
        <v>892.42</v>
      </c>
      <c r="C24" s="327"/>
      <c r="D24" s="391">
        <v>4909</v>
      </c>
      <c r="E24" s="391"/>
      <c r="F24" s="231" t="s">
        <v>361</v>
      </c>
      <c r="G24" s="231"/>
      <c r="H24" s="231"/>
      <c r="I24" s="231"/>
      <c r="J24" s="231"/>
      <c r="K24" s="231"/>
      <c r="L24" s="182"/>
      <c r="M24" s="182"/>
      <c r="N24" s="21"/>
      <c r="O24" s="21"/>
      <c r="P24" s="21"/>
    </row>
    <row r="25" spans="1:16" ht="12.75">
      <c r="A25" s="21"/>
      <c r="B25" s="327"/>
      <c r="C25" s="327"/>
      <c r="D25" s="391"/>
      <c r="E25" s="391"/>
      <c r="F25" s="231"/>
      <c r="G25" s="231" t="s">
        <v>362</v>
      </c>
      <c r="H25" s="231"/>
      <c r="I25" s="231"/>
      <c r="J25" s="231"/>
      <c r="K25" s="231"/>
      <c r="L25" s="182"/>
      <c r="M25" s="182"/>
      <c r="N25" s="21"/>
      <c r="O25" s="21"/>
      <c r="P25" s="21"/>
    </row>
    <row r="26" spans="1:16" ht="12.75">
      <c r="A26" s="21"/>
      <c r="B26" s="327">
        <v>892.8</v>
      </c>
      <c r="C26" s="327"/>
      <c r="D26" s="391"/>
      <c r="E26" s="391"/>
      <c r="F26" s="231" t="s">
        <v>294</v>
      </c>
      <c r="G26" s="231"/>
      <c r="H26" s="231"/>
      <c r="I26" s="231"/>
      <c r="J26" s="231"/>
      <c r="K26" s="231"/>
      <c r="L26" s="182"/>
      <c r="M26" s="182"/>
      <c r="N26" s="21"/>
      <c r="O26" s="21"/>
      <c r="P26" s="21"/>
    </row>
    <row r="27" spans="1:16" ht="12.75">
      <c r="A27" s="21"/>
      <c r="B27" s="327">
        <v>892.81</v>
      </c>
      <c r="C27" s="327"/>
      <c r="D27" s="391">
        <v>48.21</v>
      </c>
      <c r="E27" s="391"/>
      <c r="F27" s="231" t="s">
        <v>295</v>
      </c>
      <c r="G27" s="231"/>
      <c r="H27" s="231"/>
      <c r="I27" s="231"/>
      <c r="J27" s="231"/>
      <c r="K27" s="231"/>
      <c r="L27" s="182"/>
      <c r="M27" s="182"/>
      <c r="N27" s="21"/>
      <c r="O27" s="21"/>
      <c r="P27" s="21"/>
    </row>
    <row r="28" spans="1:16" ht="12.75">
      <c r="A28" s="21"/>
      <c r="B28" s="327">
        <v>892.82</v>
      </c>
      <c r="C28" s="327"/>
      <c r="D28" s="391" t="s">
        <v>296</v>
      </c>
      <c r="E28" s="391"/>
      <c r="F28" s="231" t="s">
        <v>363</v>
      </c>
      <c r="G28" s="231"/>
      <c r="H28" s="231"/>
      <c r="I28" s="231"/>
      <c r="J28" s="231"/>
      <c r="K28" s="231"/>
      <c r="L28" s="182"/>
      <c r="M28" s="182"/>
      <c r="N28" s="21"/>
      <c r="O28" s="21"/>
      <c r="P28" s="21"/>
    </row>
    <row r="29" spans="1:16" ht="12.75">
      <c r="A29" s="21"/>
      <c r="B29" s="327"/>
      <c r="C29" s="327"/>
      <c r="D29" s="391"/>
      <c r="E29" s="391"/>
      <c r="F29" s="231"/>
      <c r="G29" s="182" t="s">
        <v>368</v>
      </c>
      <c r="H29" s="231"/>
      <c r="I29" s="231"/>
      <c r="J29" s="231"/>
      <c r="K29" s="231"/>
      <c r="L29" s="182"/>
      <c r="M29" s="182"/>
      <c r="N29" s="21"/>
      <c r="O29" s="21"/>
      <c r="P29" s="21"/>
    </row>
    <row r="30" spans="1:16" ht="12.75">
      <c r="A30" s="21"/>
      <c r="B30" s="327"/>
      <c r="C30" s="327"/>
      <c r="D30" s="391"/>
      <c r="E30" s="391"/>
      <c r="F30" s="231"/>
      <c r="G30" s="182" t="s">
        <v>369</v>
      </c>
      <c r="H30" s="231"/>
      <c r="I30" s="231"/>
      <c r="J30" s="231"/>
      <c r="K30" s="231"/>
      <c r="L30" s="182"/>
      <c r="M30" s="182"/>
      <c r="N30" s="21"/>
      <c r="O30" s="21"/>
      <c r="P30" s="21"/>
    </row>
    <row r="31" spans="1:16" ht="12.75">
      <c r="A31" s="21"/>
      <c r="B31" s="327">
        <v>892.84</v>
      </c>
      <c r="C31" s="327"/>
      <c r="D31" s="391">
        <v>4910</v>
      </c>
      <c r="E31" s="391"/>
      <c r="F31" s="231" t="s">
        <v>297</v>
      </c>
      <c r="G31" s="231"/>
      <c r="H31" s="231"/>
      <c r="I31" s="231"/>
      <c r="J31" s="231"/>
      <c r="K31" s="231"/>
      <c r="L31" s="182"/>
      <c r="M31" s="182"/>
      <c r="N31" s="21"/>
      <c r="O31" s="21"/>
      <c r="P31" s="21"/>
    </row>
    <row r="32" spans="1:16" ht="12.75">
      <c r="A32" s="21"/>
      <c r="B32" s="327">
        <v>892.85</v>
      </c>
      <c r="C32" s="327"/>
      <c r="D32" s="391">
        <v>4904</v>
      </c>
      <c r="E32" s="391"/>
      <c r="F32" s="231" t="s">
        <v>298</v>
      </c>
      <c r="G32" s="231"/>
      <c r="H32" s="231"/>
      <c r="I32" s="231"/>
      <c r="J32" s="231"/>
      <c r="K32" s="231"/>
      <c r="L32" s="182"/>
      <c r="M32" s="182"/>
      <c r="N32" s="21"/>
      <c r="O32" s="21"/>
      <c r="P32" s="21"/>
    </row>
    <row r="33" spans="1:16" ht="12.75">
      <c r="A33" s="21"/>
      <c r="B33" s="327">
        <v>892.86</v>
      </c>
      <c r="C33" s="327"/>
      <c r="D33" s="391">
        <v>4911.1</v>
      </c>
      <c r="E33" s="391"/>
      <c r="F33" s="231" t="s">
        <v>299</v>
      </c>
      <c r="G33" s="231"/>
      <c r="H33" s="231"/>
      <c r="I33" s="231"/>
      <c r="J33" s="231"/>
      <c r="K33" s="231"/>
      <c r="L33" s="182"/>
      <c r="M33" s="182"/>
      <c r="N33" s="21"/>
      <c r="O33" s="21"/>
      <c r="P33" s="21"/>
    </row>
    <row r="34" spans="1:16" ht="12.75">
      <c r="A34" s="21"/>
      <c r="B34" s="327">
        <v>892.87</v>
      </c>
      <c r="C34" s="327"/>
      <c r="D34" s="391">
        <v>4911.91</v>
      </c>
      <c r="E34" s="391"/>
      <c r="F34" s="231" t="s">
        <v>300</v>
      </c>
      <c r="G34" s="231"/>
      <c r="H34" s="231"/>
      <c r="I34" s="231"/>
      <c r="J34" s="231"/>
      <c r="K34" s="231"/>
      <c r="L34" s="182"/>
      <c r="M34" s="182"/>
      <c r="N34" s="21"/>
      <c r="O34" s="21"/>
      <c r="P34" s="21"/>
    </row>
    <row r="35" spans="1:16" ht="12.75">
      <c r="A35" s="21"/>
      <c r="B35" s="182">
        <v>892.89</v>
      </c>
      <c r="C35" s="182"/>
      <c r="D35" s="391">
        <v>4911.99</v>
      </c>
      <c r="E35" s="391"/>
      <c r="F35" s="231" t="s">
        <v>294</v>
      </c>
      <c r="G35" s="231"/>
      <c r="H35" s="231"/>
      <c r="I35" s="231"/>
      <c r="J35" s="231"/>
      <c r="K35" s="231"/>
      <c r="L35" s="182"/>
      <c r="M35" s="182"/>
      <c r="N35" s="21"/>
      <c r="O35" s="21"/>
      <c r="P35" s="21"/>
    </row>
    <row r="36" spans="1:16" ht="12.75">
      <c r="A36" s="21"/>
      <c r="B36" s="235"/>
      <c r="C36" s="235"/>
      <c r="D36" s="398"/>
      <c r="E36" s="398"/>
      <c r="F36" s="395"/>
      <c r="G36" s="395"/>
      <c r="H36" s="395"/>
      <c r="I36" s="395"/>
      <c r="J36" s="395"/>
      <c r="K36" s="396"/>
      <c r="L36" s="34"/>
      <c r="M36" s="34"/>
      <c r="N36" s="34"/>
      <c r="O36" s="34"/>
      <c r="P36" s="21"/>
    </row>
    <row r="37" spans="1:16" ht="12.75">
      <c r="A37" s="21"/>
      <c r="B37" s="182"/>
      <c r="C37" s="182"/>
      <c r="D37" s="393"/>
      <c r="E37" s="393"/>
      <c r="F37" s="231"/>
      <c r="G37" s="231"/>
      <c r="H37" s="231"/>
      <c r="I37" s="231"/>
      <c r="J37" s="232"/>
      <c r="K37" s="232"/>
      <c r="L37" s="21"/>
      <c r="M37" s="21"/>
      <c r="N37" s="21"/>
      <c r="O37" s="21"/>
      <c r="P37" s="21"/>
    </row>
    <row r="38" spans="1:16" ht="12.75">
      <c r="A38" s="21"/>
      <c r="B38" s="229">
        <v>894</v>
      </c>
      <c r="C38" s="229"/>
      <c r="D38" s="393"/>
      <c r="E38" s="393"/>
      <c r="F38" s="229" t="s">
        <v>397</v>
      </c>
      <c r="G38" s="231"/>
      <c r="H38" s="231"/>
      <c r="I38" s="231"/>
      <c r="J38" s="232"/>
      <c r="K38" s="232"/>
      <c r="L38" s="21"/>
      <c r="M38" s="21"/>
      <c r="N38" s="21"/>
      <c r="O38" s="21"/>
      <c r="P38" s="21"/>
    </row>
    <row r="39" spans="1:16" ht="12.75">
      <c r="A39" s="21"/>
      <c r="B39" s="327">
        <v>894.31</v>
      </c>
      <c r="C39" s="327"/>
      <c r="D39" s="393">
        <v>9504.1</v>
      </c>
      <c r="E39" s="393"/>
      <c r="F39" s="231" t="s">
        <v>304</v>
      </c>
      <c r="G39" s="231"/>
      <c r="H39" s="231"/>
      <c r="I39" s="231"/>
      <c r="J39" s="232"/>
      <c r="K39" s="232"/>
      <c r="L39" s="21"/>
      <c r="M39" s="21"/>
      <c r="N39" s="21"/>
      <c r="O39" s="21"/>
      <c r="P39" s="21"/>
    </row>
    <row r="40" spans="1:16" ht="12.75">
      <c r="A40" s="21"/>
      <c r="B40" s="235"/>
      <c r="C40" s="235"/>
      <c r="D40" s="394"/>
      <c r="E40" s="394"/>
      <c r="F40" s="235"/>
      <c r="G40" s="235"/>
      <c r="H40" s="235"/>
      <c r="I40" s="235"/>
      <c r="J40" s="34"/>
      <c r="K40" s="34"/>
      <c r="L40" s="34"/>
      <c r="M40" s="34"/>
      <c r="N40" s="34"/>
      <c r="O40" s="34"/>
      <c r="P40" s="21"/>
    </row>
    <row r="41" spans="1:16" ht="12.75">
      <c r="A41" s="21"/>
      <c r="B41" s="182"/>
      <c r="C41" s="182"/>
      <c r="D41" s="182"/>
      <c r="E41" s="182"/>
      <c r="F41" s="182"/>
      <c r="G41" s="182"/>
      <c r="H41" s="182"/>
      <c r="I41" s="182"/>
      <c r="J41" s="21"/>
      <c r="K41" s="21"/>
      <c r="L41" s="21"/>
      <c r="M41" s="21"/>
      <c r="N41" s="21"/>
      <c r="O41" s="21"/>
      <c r="P41" s="21"/>
    </row>
    <row r="42" spans="1:16" ht="12.75">
      <c r="A42" s="21"/>
      <c r="B42" s="229">
        <v>898</v>
      </c>
      <c r="C42" s="229"/>
      <c r="D42" s="393"/>
      <c r="E42" s="393"/>
      <c r="F42" s="229" t="s">
        <v>395</v>
      </c>
      <c r="G42" s="231"/>
      <c r="H42" s="231"/>
      <c r="I42" s="231"/>
      <c r="J42" s="232"/>
      <c r="K42" s="232"/>
      <c r="L42" s="21"/>
      <c r="M42" s="21"/>
      <c r="N42" s="21"/>
      <c r="O42" s="21"/>
      <c r="P42" s="21"/>
    </row>
    <row r="43" spans="1:16" ht="12.75">
      <c r="A43" s="21"/>
      <c r="B43" s="229"/>
      <c r="C43" s="229"/>
      <c r="D43" s="393"/>
      <c r="E43" s="393"/>
      <c r="F43" s="229"/>
      <c r="G43" s="229" t="s">
        <v>396</v>
      </c>
      <c r="H43" s="231"/>
      <c r="I43" s="231"/>
      <c r="J43" s="232"/>
      <c r="K43" s="232"/>
      <c r="L43" s="21"/>
      <c r="M43" s="21"/>
      <c r="N43" s="21"/>
      <c r="O43" s="21"/>
      <c r="P43" s="21"/>
    </row>
    <row r="44" spans="1:16" ht="12.75">
      <c r="A44" s="21"/>
      <c r="B44" s="327">
        <v>898.6</v>
      </c>
      <c r="C44" s="327"/>
      <c r="D44" s="393"/>
      <c r="E44" s="393"/>
      <c r="F44" s="231" t="s">
        <v>577</v>
      </c>
      <c r="G44" s="231"/>
      <c r="H44" s="231"/>
      <c r="I44" s="231"/>
      <c r="J44" s="232"/>
      <c r="K44" s="232"/>
      <c r="L44" s="21"/>
      <c r="M44" s="21"/>
      <c r="N44" s="21"/>
      <c r="O44" s="21"/>
      <c r="P44" s="21"/>
    </row>
    <row r="45" spans="1:16" ht="12.75">
      <c r="A45" s="21"/>
      <c r="B45" s="182">
        <v>898.61</v>
      </c>
      <c r="C45" s="182"/>
      <c r="D45" s="393">
        <v>8524.21</v>
      </c>
      <c r="E45" s="393"/>
      <c r="F45" s="231"/>
      <c r="G45" s="231" t="s">
        <v>301</v>
      </c>
      <c r="H45" s="231"/>
      <c r="I45" s="231"/>
      <c r="J45" s="232"/>
      <c r="K45" s="232"/>
      <c r="L45" s="21"/>
      <c r="M45" s="21"/>
      <c r="N45" s="21"/>
      <c r="O45" s="21"/>
      <c r="P45" s="21"/>
    </row>
    <row r="46" spans="1:16" ht="12.75">
      <c r="A46" s="21"/>
      <c r="B46" s="182">
        <v>898.63</v>
      </c>
      <c r="C46" s="182"/>
      <c r="D46" s="393">
        <v>8524.22</v>
      </c>
      <c r="E46" s="393"/>
      <c r="F46" s="231"/>
      <c r="G46" s="231" t="s">
        <v>302</v>
      </c>
      <c r="H46" s="231"/>
      <c r="I46" s="231"/>
      <c r="J46" s="232"/>
      <c r="K46" s="232"/>
      <c r="L46" s="21"/>
      <c r="M46" s="21"/>
      <c r="N46" s="21"/>
      <c r="O46" s="21"/>
      <c r="P46" s="21"/>
    </row>
    <row r="47" spans="1:16" ht="12.75">
      <c r="A47" s="21"/>
      <c r="B47" s="182">
        <v>898.65</v>
      </c>
      <c r="C47" s="182"/>
      <c r="D47" s="393">
        <v>8524.23</v>
      </c>
      <c r="E47" s="393"/>
      <c r="F47" s="231"/>
      <c r="G47" s="231" t="s">
        <v>303</v>
      </c>
      <c r="H47" s="231"/>
      <c r="I47" s="231"/>
      <c r="J47" s="232"/>
      <c r="K47" s="232"/>
      <c r="L47" s="21"/>
      <c r="M47" s="21"/>
      <c r="N47" s="21"/>
      <c r="O47" s="21"/>
      <c r="P47" s="21"/>
    </row>
    <row r="48" spans="1:16" ht="12.75">
      <c r="A48" s="21"/>
      <c r="B48" s="182">
        <v>898.7</v>
      </c>
      <c r="C48" s="182"/>
      <c r="D48" s="393"/>
      <c r="E48" s="393"/>
      <c r="F48" s="231"/>
      <c r="G48" s="231"/>
      <c r="H48" s="231"/>
      <c r="I48" s="231"/>
      <c r="J48" s="232"/>
      <c r="K48" s="232"/>
      <c r="L48" s="21"/>
      <c r="M48" s="21"/>
      <c r="N48" s="21"/>
      <c r="O48" s="21"/>
      <c r="P48" s="21"/>
    </row>
    <row r="49" spans="1:16" ht="12.75">
      <c r="A49" s="21"/>
      <c r="B49" s="182">
        <v>898.71</v>
      </c>
      <c r="C49" s="182"/>
      <c r="D49" s="393">
        <v>8524.1</v>
      </c>
      <c r="E49" s="393"/>
      <c r="F49" s="231" t="s">
        <v>578</v>
      </c>
      <c r="G49" s="231"/>
      <c r="H49" s="231"/>
      <c r="I49" s="231"/>
      <c r="J49" s="232"/>
      <c r="K49" s="232"/>
      <c r="L49" s="21"/>
      <c r="M49" s="21"/>
      <c r="N49" s="21"/>
      <c r="O49" s="21"/>
      <c r="P49" s="21"/>
    </row>
    <row r="50" spans="1:16" ht="12.75">
      <c r="A50" s="21"/>
      <c r="B50" s="235">
        <v>898.79</v>
      </c>
      <c r="C50" s="235"/>
      <c r="D50" s="394">
        <v>8524.9</v>
      </c>
      <c r="E50" s="394"/>
      <c r="F50" s="395" t="s">
        <v>579</v>
      </c>
      <c r="G50" s="395"/>
      <c r="H50" s="395"/>
      <c r="I50" s="395"/>
      <c r="J50" s="396"/>
      <c r="K50" s="396"/>
      <c r="L50" s="34"/>
      <c r="M50" s="34"/>
      <c r="N50" s="34"/>
      <c r="O50" s="34"/>
      <c r="P50" s="21"/>
    </row>
    <row r="51" spans="1:16" ht="18" customHeight="1">
      <c r="A51" s="21"/>
      <c r="B51" s="361" t="s">
        <v>501</v>
      </c>
      <c r="C51" s="361"/>
      <c r="D51" s="182"/>
      <c r="E51" s="182"/>
      <c r="F51" s="182"/>
      <c r="G51" s="182"/>
      <c r="H51" s="182"/>
      <c r="I51" s="182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182" t="s">
        <v>580</v>
      </c>
      <c r="C52" s="182"/>
      <c r="D52" s="182"/>
      <c r="E52" s="182"/>
      <c r="F52" s="182"/>
      <c r="G52" s="182"/>
      <c r="H52" s="182"/>
      <c r="I52" s="182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182"/>
      <c r="C53" s="182"/>
      <c r="D53" s="182"/>
      <c r="E53" s="182"/>
      <c r="F53" s="182"/>
      <c r="G53" s="182"/>
      <c r="H53" s="182"/>
      <c r="I53" s="182"/>
      <c r="J53" s="21"/>
      <c r="K53" s="21"/>
      <c r="L53" s="21"/>
      <c r="M53" s="21"/>
      <c r="N53" s="21"/>
      <c r="O53" s="21"/>
      <c r="P53" s="21"/>
    </row>
    <row r="54" spans="2:9" ht="12.75">
      <c r="B54" s="193"/>
      <c r="C54" s="193"/>
      <c r="D54" s="193"/>
      <c r="E54" s="193"/>
      <c r="F54" s="193"/>
      <c r="G54" s="193"/>
      <c r="H54" s="193"/>
      <c r="I54" s="193"/>
    </row>
    <row r="55" spans="2:9" ht="12.75">
      <c r="B55" s="193"/>
      <c r="C55" s="193"/>
      <c r="D55" s="193"/>
      <c r="E55" s="193"/>
      <c r="F55" s="193"/>
      <c r="G55" s="193"/>
      <c r="H55" s="193"/>
      <c r="I55" s="193"/>
    </row>
    <row r="56" spans="2:9" ht="12.75">
      <c r="B56" s="193"/>
      <c r="C56" s="193"/>
      <c r="D56" s="193"/>
      <c r="E56" s="193"/>
      <c r="F56" s="193"/>
      <c r="G56" s="193"/>
      <c r="H56" s="193"/>
      <c r="I56" s="193"/>
    </row>
    <row r="57" spans="2:9" ht="12.75">
      <c r="B57" s="193"/>
      <c r="C57" s="193"/>
      <c r="D57" s="193"/>
      <c r="E57" s="193"/>
      <c r="F57" s="193"/>
      <c r="G57" s="193"/>
      <c r="H57" s="193"/>
      <c r="I57" s="193"/>
    </row>
    <row r="58" spans="2:9" ht="12.75">
      <c r="B58" s="193"/>
      <c r="C58" s="193"/>
      <c r="D58" s="193"/>
      <c r="E58" s="193"/>
      <c r="F58" s="193"/>
      <c r="G58" s="193"/>
      <c r="H58" s="193"/>
      <c r="I58" s="193"/>
    </row>
    <row r="59" spans="2:9" ht="12.75">
      <c r="B59" s="193"/>
      <c r="C59" s="193"/>
      <c r="D59" s="193"/>
      <c r="E59" s="193"/>
      <c r="F59" s="193"/>
      <c r="G59" s="193"/>
      <c r="H59" s="193"/>
      <c r="I59" s="193"/>
    </row>
    <row r="60" spans="2:9" ht="12.75">
      <c r="B60" s="193"/>
      <c r="C60" s="193"/>
      <c r="D60" s="193"/>
      <c r="E60" s="193"/>
      <c r="F60" s="193"/>
      <c r="G60" s="193"/>
      <c r="H60" s="193"/>
      <c r="I60" s="193"/>
    </row>
    <row r="61" spans="2:9" ht="12.75">
      <c r="B61" s="193"/>
      <c r="C61" s="193"/>
      <c r="D61" s="193"/>
      <c r="E61" s="193"/>
      <c r="F61" s="193"/>
      <c r="G61" s="193"/>
      <c r="H61" s="193"/>
      <c r="I61" s="193"/>
    </row>
    <row r="62" spans="2:9" ht="12.75">
      <c r="B62" s="193"/>
      <c r="C62" s="193"/>
      <c r="D62" s="193"/>
      <c r="E62" s="193"/>
      <c r="F62" s="193"/>
      <c r="G62" s="193"/>
      <c r="H62" s="193"/>
      <c r="I62" s="193"/>
    </row>
    <row r="63" spans="4:9" ht="12.75">
      <c r="D63" s="193"/>
      <c r="E63" s="193"/>
      <c r="F63" s="193"/>
      <c r="G63" s="193"/>
      <c r="H63" s="193"/>
      <c r="I63" s="193"/>
    </row>
    <row r="64" spans="4:9" ht="12.75">
      <c r="D64" s="193"/>
      <c r="E64" s="193"/>
      <c r="F64" s="193"/>
      <c r="G64" s="193"/>
      <c r="H64" s="193"/>
      <c r="I64" s="193"/>
    </row>
  </sheetData>
  <printOptions horizontalCentered="1" verticalCentered="1"/>
  <pageMargins left="0.3937007874015748" right="0.3937007874015748" top="0" bottom="0" header="0" footer="0"/>
  <pageSetup fitToHeight="1" fitToWidth="1" horizontalDpi="600" verticalDpi="600" orientation="portrait" paperSize="9" scale="74" r:id="rId1"/>
  <headerFooter alignWithMargins="0">
    <oddFooter>&amp;R26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51"/>
  <sheetViews>
    <sheetView workbookViewId="0" topLeftCell="A21">
      <selection activeCell="B46" sqref="B46"/>
    </sheetView>
  </sheetViews>
  <sheetFormatPr defaultColWidth="9.140625" defaultRowHeight="12.75"/>
  <cols>
    <col min="1" max="1" width="7.57421875" style="0" customWidth="1"/>
    <col min="2" max="2" width="18.140625" style="0" customWidth="1"/>
    <col min="3" max="3" width="11.421875" style="0" customWidth="1"/>
    <col min="4" max="4" width="6.8515625" style="0" customWidth="1"/>
    <col min="5" max="5" width="12.57421875" style="0" customWidth="1"/>
    <col min="6" max="6" width="9.7109375" style="0" customWidth="1"/>
    <col min="7" max="7" width="14.28125" style="0" customWidth="1"/>
    <col min="8" max="8" width="6.140625" style="0" customWidth="1"/>
    <col min="9" max="9" width="10.57421875" style="0" customWidth="1"/>
    <col min="10" max="11" width="8.57421875" style="0" customWidth="1"/>
    <col min="12" max="12" width="13.140625" style="0" customWidth="1"/>
    <col min="13" max="13" width="14.28125" style="0" customWidth="1"/>
    <col min="15" max="15" width="11.28125" style="0" customWidth="1"/>
  </cols>
  <sheetData>
    <row r="1" spans="1:29" ht="33.75" customHeight="1">
      <c r="A1" s="20"/>
      <c r="B1" s="2" t="s">
        <v>504</v>
      </c>
      <c r="C1" s="3"/>
      <c r="D1" s="3"/>
      <c r="E1" s="3"/>
      <c r="F1" s="3"/>
      <c r="G1" s="3"/>
      <c r="H1" s="3"/>
      <c r="I1" s="3"/>
      <c r="J1" s="3"/>
      <c r="K1" s="3"/>
      <c r="L1" s="3"/>
      <c r="S1" s="1">
        <v>9.176</v>
      </c>
      <c r="T1" s="1">
        <v>320438.797</v>
      </c>
      <c r="W1" s="1">
        <v>9.176</v>
      </c>
      <c r="X1" s="1">
        <v>1667.09</v>
      </c>
      <c r="Y1" s="1">
        <v>51.474</v>
      </c>
      <c r="Z1" s="1">
        <v>1749.395</v>
      </c>
      <c r="AA1" s="1">
        <v>8.561</v>
      </c>
      <c r="AB1" s="1">
        <v>487.863</v>
      </c>
      <c r="AC1" s="1">
        <v>12.941</v>
      </c>
    </row>
    <row r="2" spans="1:29" ht="13.5" customHeight="1">
      <c r="A2" s="20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S2" s="1">
        <v>1667.09</v>
      </c>
      <c r="T2" s="1">
        <v>6842.675</v>
      </c>
      <c r="W2" s="1">
        <v>71.005</v>
      </c>
      <c r="X2" s="1">
        <v>10933.197</v>
      </c>
      <c r="Y2" s="1">
        <v>914.148</v>
      </c>
      <c r="Z2" s="1">
        <v>48396.951</v>
      </c>
      <c r="AA2" s="1">
        <v>92.811</v>
      </c>
      <c r="AB2" s="1">
        <v>981.096</v>
      </c>
      <c r="AC2" s="1">
        <v>271.185</v>
      </c>
    </row>
    <row r="3" spans="1:29" ht="16.5" customHeight="1">
      <c r="A3" s="20"/>
      <c r="B3" s="702" t="s">
        <v>0</v>
      </c>
      <c r="C3" s="856" t="s">
        <v>1</v>
      </c>
      <c r="D3" s="856"/>
      <c r="E3" s="856" t="s">
        <v>2</v>
      </c>
      <c r="F3" s="856"/>
      <c r="G3" s="856" t="s">
        <v>3</v>
      </c>
      <c r="H3" s="856"/>
      <c r="I3" s="856" t="s">
        <v>1</v>
      </c>
      <c r="J3" s="859"/>
      <c r="K3" s="358"/>
      <c r="L3" s="358"/>
      <c r="N3" s="4"/>
      <c r="S3" s="1">
        <v>51.474</v>
      </c>
      <c r="T3" s="1">
        <v>476.477</v>
      </c>
      <c r="W3" s="1">
        <v>238.972</v>
      </c>
      <c r="X3" s="1">
        <v>68444.357</v>
      </c>
      <c r="Y3" s="1">
        <v>16439.391</v>
      </c>
      <c r="Z3" s="1">
        <v>885.775</v>
      </c>
      <c r="AA3" s="1">
        <v>1003.854</v>
      </c>
      <c r="AB3" s="1">
        <v>8193.807</v>
      </c>
      <c r="AC3" s="1">
        <v>88.703</v>
      </c>
    </row>
    <row r="4" spans="1:29" ht="16.5" customHeight="1">
      <c r="A4" s="20"/>
      <c r="B4" s="703"/>
      <c r="C4" s="857" t="s">
        <v>4</v>
      </c>
      <c r="D4" s="857"/>
      <c r="E4" s="857" t="s">
        <v>5</v>
      </c>
      <c r="F4" s="857"/>
      <c r="G4" s="187"/>
      <c r="H4" s="187"/>
      <c r="I4" s="857" t="s">
        <v>4</v>
      </c>
      <c r="J4" s="860"/>
      <c r="K4" s="358"/>
      <c r="L4" s="358"/>
      <c r="N4" s="4"/>
      <c r="S4" s="1">
        <v>8.561</v>
      </c>
      <c r="T4" s="1">
        <v>12818.863</v>
      </c>
      <c r="W4" s="1">
        <v>7139.167</v>
      </c>
      <c r="X4" s="1">
        <v>401466.165</v>
      </c>
      <c r="Y4" s="1">
        <v>148535.563</v>
      </c>
      <c r="Z4" s="1">
        <v>529.368</v>
      </c>
      <c r="AA4" s="1">
        <v>23870.259</v>
      </c>
      <c r="AB4" s="1">
        <v>16019.51</v>
      </c>
      <c r="AC4" s="1">
        <v>775.89</v>
      </c>
    </row>
    <row r="5" spans="1:29" ht="16.5" customHeight="1">
      <c r="A5" s="20"/>
      <c r="B5" s="703"/>
      <c r="C5" s="258"/>
      <c r="D5" s="258"/>
      <c r="E5" s="857" t="s">
        <v>4</v>
      </c>
      <c r="F5" s="857"/>
      <c r="G5" s="187"/>
      <c r="H5" s="187"/>
      <c r="I5" s="857" t="s">
        <v>6</v>
      </c>
      <c r="J5" s="860"/>
      <c r="K5" s="358"/>
      <c r="L5" s="358"/>
      <c r="N5" s="4"/>
      <c r="S5" s="1">
        <v>487.863</v>
      </c>
      <c r="T5" s="1">
        <v>364.289</v>
      </c>
      <c r="W5" s="1">
        <v>4037.445</v>
      </c>
      <c r="X5" s="1">
        <v>370243.261</v>
      </c>
      <c r="Y5" s="1">
        <v>255805.242</v>
      </c>
      <c r="Z5" s="1">
        <v>95869.184</v>
      </c>
      <c r="AA5" s="1">
        <v>13830.869</v>
      </c>
      <c r="AB5" s="1">
        <v>37282.696</v>
      </c>
      <c r="AC5" s="1">
        <v>2377.344</v>
      </c>
    </row>
    <row r="6" spans="1:29" ht="16.5" customHeight="1">
      <c r="A6" s="20"/>
      <c r="B6" s="703"/>
      <c r="C6" s="858" t="s">
        <v>7</v>
      </c>
      <c r="D6" s="858"/>
      <c r="E6" s="187"/>
      <c r="F6" s="187"/>
      <c r="G6" s="858" t="s">
        <v>7</v>
      </c>
      <c r="H6" s="858"/>
      <c r="I6" s="451" t="s">
        <v>8</v>
      </c>
      <c r="J6" s="452"/>
      <c r="K6" s="258"/>
      <c r="L6" s="258"/>
      <c r="N6" s="4"/>
      <c r="S6" s="1">
        <v>12.941</v>
      </c>
      <c r="T6" s="1">
        <v>5890.92</v>
      </c>
      <c r="W6" s="1">
        <v>1914.623</v>
      </c>
      <c r="X6" s="1">
        <v>4516.364</v>
      </c>
      <c r="Y6" s="1">
        <v>1037.578</v>
      </c>
      <c r="Z6" s="1">
        <v>21.776</v>
      </c>
      <c r="AA6" s="1">
        <v>588.687</v>
      </c>
      <c r="AB6" s="1">
        <v>1058.257</v>
      </c>
      <c r="AC6" s="1">
        <v>4.14</v>
      </c>
    </row>
    <row r="7" spans="1:29" ht="18.75" customHeight="1">
      <c r="A7" s="20"/>
      <c r="B7" s="704" t="s">
        <v>9</v>
      </c>
      <c r="C7" s="223">
        <v>19747</v>
      </c>
      <c r="D7" s="223"/>
      <c r="E7" s="413">
        <f>M7*100</f>
        <v>44.787933771830346</v>
      </c>
      <c r="F7" s="413"/>
      <c r="G7" s="414">
        <v>2052985</v>
      </c>
      <c r="H7" s="414"/>
      <c r="I7" s="413">
        <f aca="true" t="shared" si="0" ref="I7:I22">O7*100</f>
        <v>0.9618677194426652</v>
      </c>
      <c r="J7" s="697"/>
      <c r="K7" s="263"/>
      <c r="L7" s="400"/>
      <c r="M7" s="410">
        <v>0.44787933771830346</v>
      </c>
      <c r="N7" s="4"/>
      <c r="O7" s="405">
        <v>0.009618677194426653</v>
      </c>
      <c r="S7" s="1">
        <v>33.328</v>
      </c>
      <c r="T7" s="1">
        <v>199.448</v>
      </c>
      <c r="W7" s="1">
        <v>4.247</v>
      </c>
      <c r="X7" s="1">
        <v>7367.552</v>
      </c>
      <c r="Y7" s="1">
        <v>1700.956</v>
      </c>
      <c r="Z7" s="1">
        <v>1.153</v>
      </c>
      <c r="AA7" s="1">
        <v>362.622</v>
      </c>
      <c r="AB7" s="1">
        <v>88638.93</v>
      </c>
      <c r="AC7" s="1">
        <v>11.032</v>
      </c>
    </row>
    <row r="8" spans="1:29" ht="12.75">
      <c r="A8" s="20"/>
      <c r="B8" s="705" t="s">
        <v>273</v>
      </c>
      <c r="C8" s="216">
        <v>5580.081984</v>
      </c>
      <c r="D8" s="216"/>
      <c r="E8" s="263">
        <f aca="true" t="shared" si="1" ref="E8:E45">M8*100</f>
        <v>12.656116997051486</v>
      </c>
      <c r="F8" s="263"/>
      <c r="G8" s="186">
        <v>817795</v>
      </c>
      <c r="H8" s="186"/>
      <c r="I8" s="263">
        <f t="shared" si="0"/>
        <v>0.6823326119626557</v>
      </c>
      <c r="J8" s="698"/>
      <c r="K8" s="263"/>
      <c r="L8" s="400"/>
      <c r="M8" s="410">
        <v>0.12656116997051486</v>
      </c>
      <c r="N8" s="4"/>
      <c r="O8" s="405">
        <v>0.006823326119626557</v>
      </c>
      <c r="S8" s="1">
        <v>206.877</v>
      </c>
      <c r="T8" s="1">
        <v>79.535</v>
      </c>
      <c r="W8" s="1">
        <v>3264.135</v>
      </c>
      <c r="X8" s="1">
        <v>425515.933</v>
      </c>
      <c r="Y8" s="1">
        <v>252256.18</v>
      </c>
      <c r="Z8" s="1">
        <v>14912.399</v>
      </c>
      <c r="AA8" s="1">
        <v>16762.694</v>
      </c>
      <c r="AB8" s="1">
        <v>308.464</v>
      </c>
      <c r="AC8" s="1">
        <v>2751.188</v>
      </c>
    </row>
    <row r="9" spans="1:29" ht="12.75">
      <c r="A9" s="20"/>
      <c r="B9" s="705" t="s">
        <v>10</v>
      </c>
      <c r="C9" s="216">
        <v>3222.956512</v>
      </c>
      <c r="D9" s="216"/>
      <c r="E9" s="263">
        <f t="shared" si="1"/>
        <v>7.309948995237016</v>
      </c>
      <c r="F9" s="263"/>
      <c r="G9" s="186">
        <v>175158</v>
      </c>
      <c r="H9" s="186"/>
      <c r="I9" s="263">
        <f t="shared" si="0"/>
        <v>1.8400281528676967</v>
      </c>
      <c r="J9" s="698"/>
      <c r="K9" s="263"/>
      <c r="L9" s="401"/>
      <c r="M9" s="410">
        <v>0.07309948995237016</v>
      </c>
      <c r="N9" s="4"/>
      <c r="O9" s="405">
        <v>0.018400281528676968</v>
      </c>
      <c r="S9" s="1">
        <v>7.913</v>
      </c>
      <c r="T9" s="1">
        <v>947.871</v>
      </c>
      <c r="W9" s="1">
        <v>0.407</v>
      </c>
      <c r="X9" s="1">
        <v>2155.796</v>
      </c>
      <c r="Y9" s="1">
        <v>124.6</v>
      </c>
      <c r="Z9" s="1">
        <v>3163.099</v>
      </c>
      <c r="AA9" s="1">
        <v>120.382</v>
      </c>
      <c r="AB9" s="1">
        <v>387.996</v>
      </c>
      <c r="AC9" s="1">
        <v>0.849</v>
      </c>
    </row>
    <row r="10" spans="1:29" ht="12.75">
      <c r="A10" s="20"/>
      <c r="B10" s="705" t="s">
        <v>11</v>
      </c>
      <c r="C10" s="216">
        <v>2185.7782030000003</v>
      </c>
      <c r="D10" s="216"/>
      <c r="E10" s="263">
        <f t="shared" si="1"/>
        <v>4.957537316851894</v>
      </c>
      <c r="F10" s="263"/>
      <c r="G10" s="186">
        <v>410901</v>
      </c>
      <c r="H10" s="186"/>
      <c r="I10" s="263">
        <f t="shared" si="0"/>
        <v>0.5319476474868643</v>
      </c>
      <c r="J10" s="698"/>
      <c r="K10" s="263"/>
      <c r="L10" s="400"/>
      <c r="M10" s="410">
        <v>0.04957537316851895</v>
      </c>
      <c r="N10" s="4"/>
      <c r="O10" s="405">
        <v>0.005319476474868643</v>
      </c>
      <c r="S10" s="1">
        <v>57.189</v>
      </c>
      <c r="T10" s="1">
        <v>1021.21</v>
      </c>
      <c r="W10" s="1">
        <v>37.975</v>
      </c>
      <c r="X10" s="1">
        <v>19922.158</v>
      </c>
      <c r="Y10" s="1">
        <v>1182.707</v>
      </c>
      <c r="Z10" s="1">
        <v>64.287</v>
      </c>
      <c r="AA10" s="1">
        <v>43.675</v>
      </c>
      <c r="AB10" s="1">
        <v>1368.819</v>
      </c>
      <c r="AC10" s="1">
        <v>0.052</v>
      </c>
    </row>
    <row r="11" spans="1:29" ht="12.75">
      <c r="A11" s="20"/>
      <c r="B11" s="705" t="s">
        <v>389</v>
      </c>
      <c r="C11" s="216">
        <v>2087.6863240000002</v>
      </c>
      <c r="D11" s="216"/>
      <c r="E11" s="263">
        <f t="shared" si="1"/>
        <v>4.735056303016558</v>
      </c>
      <c r="F11" s="263"/>
      <c r="G11" s="186">
        <v>79264</v>
      </c>
      <c r="H11" s="186"/>
      <c r="I11" s="263">
        <f t="shared" si="0"/>
        <v>2.6338392258780785</v>
      </c>
      <c r="J11" s="698"/>
      <c r="K11" s="263"/>
      <c r="L11" s="401"/>
      <c r="M11" s="410">
        <v>0.04735056303016558</v>
      </c>
      <c r="N11" s="4"/>
      <c r="O11" s="405">
        <v>0.026338392258780787</v>
      </c>
      <c r="S11" s="1">
        <v>71.005</v>
      </c>
      <c r="T11" s="1">
        <v>885.259</v>
      </c>
      <c r="W11" s="1">
        <v>0.955</v>
      </c>
      <c r="X11" s="1">
        <v>8685.494</v>
      </c>
      <c r="Y11" s="1">
        <v>3124.185</v>
      </c>
      <c r="Z11" s="1">
        <v>1544.018</v>
      </c>
      <c r="AA11" s="1">
        <v>28.278</v>
      </c>
      <c r="AB11" s="1">
        <v>60287.326</v>
      </c>
      <c r="AC11" s="1">
        <v>31.545</v>
      </c>
    </row>
    <row r="12" spans="1:29" ht="12.75">
      <c r="A12" s="20"/>
      <c r="B12" s="705" t="s">
        <v>12</v>
      </c>
      <c r="C12" s="216">
        <v>1141.5408659999998</v>
      </c>
      <c r="D12" s="216"/>
      <c r="E12" s="263">
        <f t="shared" si="1"/>
        <v>2.5891151417555</v>
      </c>
      <c r="F12" s="263"/>
      <c r="G12" s="186">
        <v>60541</v>
      </c>
      <c r="H12" s="186"/>
      <c r="I12" s="263">
        <f t="shared" si="0"/>
        <v>1.8855665846285987</v>
      </c>
      <c r="J12" s="698"/>
      <c r="K12" s="263"/>
      <c r="L12" s="401"/>
      <c r="M12" s="410">
        <v>0.025891151417555</v>
      </c>
      <c r="N12" s="4"/>
      <c r="O12" s="405">
        <v>0.018855665846285986</v>
      </c>
      <c r="S12" s="1">
        <v>10933.197</v>
      </c>
      <c r="T12" s="1">
        <v>1666.561</v>
      </c>
      <c r="W12" s="1">
        <v>9647.07</v>
      </c>
      <c r="X12" s="1">
        <v>972886.3</v>
      </c>
      <c r="Y12" s="1">
        <v>645356.15</v>
      </c>
      <c r="Z12" s="1">
        <v>4168.852</v>
      </c>
      <c r="AA12" s="1">
        <v>96762.579</v>
      </c>
      <c r="AB12" s="1">
        <v>165.471</v>
      </c>
      <c r="AC12" s="1">
        <v>3006.934</v>
      </c>
    </row>
    <row r="13" spans="1:29" ht="12.75">
      <c r="A13" s="20"/>
      <c r="B13" s="705" t="s">
        <v>390</v>
      </c>
      <c r="C13" s="216">
        <v>941.330371</v>
      </c>
      <c r="D13" s="216"/>
      <c r="E13" s="263">
        <f t="shared" si="1"/>
        <v>2.1350201202086643</v>
      </c>
      <c r="F13" s="263"/>
      <c r="G13" s="186">
        <v>47801</v>
      </c>
      <c r="H13" s="186"/>
      <c r="I13" s="263">
        <f t="shared" si="0"/>
        <v>1.9692692014811406</v>
      </c>
      <c r="J13" s="698"/>
      <c r="K13" s="263"/>
      <c r="L13" s="401"/>
      <c r="M13" s="410">
        <v>0.021350201202086642</v>
      </c>
      <c r="N13" s="4"/>
      <c r="O13" s="405">
        <v>0.019692692014811407</v>
      </c>
      <c r="S13" s="1">
        <v>914.148</v>
      </c>
      <c r="T13" s="1">
        <v>636</v>
      </c>
      <c r="W13" s="1">
        <v>523.988</v>
      </c>
      <c r="X13" s="1">
        <v>1412.276</v>
      </c>
      <c r="Y13" s="1">
        <v>342.514</v>
      </c>
      <c r="Z13" s="1">
        <v>13496.765</v>
      </c>
      <c r="AA13" s="1">
        <v>644.83</v>
      </c>
      <c r="AB13" s="1">
        <v>4545.475</v>
      </c>
      <c r="AC13" s="1">
        <v>239.899</v>
      </c>
    </row>
    <row r="14" spans="1:29" ht="12.75">
      <c r="A14" s="20"/>
      <c r="B14" s="705" t="s">
        <v>13</v>
      </c>
      <c r="C14" s="216">
        <v>868.907267</v>
      </c>
      <c r="D14" s="216"/>
      <c r="E14" s="263">
        <f t="shared" si="1"/>
        <v>1.9707581469721027</v>
      </c>
      <c r="F14" s="263"/>
      <c r="G14" s="186">
        <v>90250</v>
      </c>
      <c r="H14" s="186"/>
      <c r="I14" s="263">
        <f t="shared" si="0"/>
        <v>0.9627781351800554</v>
      </c>
      <c r="J14" s="698"/>
      <c r="K14" s="263"/>
      <c r="L14" s="401"/>
      <c r="M14" s="410">
        <v>0.019707581469721028</v>
      </c>
      <c r="N14" s="4"/>
      <c r="O14" s="405">
        <v>0.009627781351800554</v>
      </c>
      <c r="S14" s="1">
        <v>92.811</v>
      </c>
      <c r="T14" s="1">
        <v>176.575</v>
      </c>
      <c r="W14" s="1">
        <v>1431.86</v>
      </c>
      <c r="X14" s="1">
        <v>50952.94</v>
      </c>
      <c r="Y14" s="1">
        <v>9632.046</v>
      </c>
      <c r="Z14" s="1">
        <v>26522.051</v>
      </c>
      <c r="AA14" s="1">
        <v>1694.284</v>
      </c>
      <c r="AB14" s="1">
        <v>195538.784</v>
      </c>
      <c r="AC14" s="1">
        <v>165412.946</v>
      </c>
    </row>
    <row r="15" spans="1:29" ht="12.75">
      <c r="A15" s="20"/>
      <c r="B15" s="705" t="s">
        <v>391</v>
      </c>
      <c r="C15" s="216">
        <v>771.1193519999999</v>
      </c>
      <c r="D15" s="216"/>
      <c r="E15" s="263">
        <f t="shared" si="1"/>
        <v>1.7489665502381493</v>
      </c>
      <c r="F15" s="263"/>
      <c r="G15" s="186">
        <v>150212</v>
      </c>
      <c r="H15" s="186"/>
      <c r="I15" s="263">
        <f t="shared" si="0"/>
        <v>0.5133540276409342</v>
      </c>
      <c r="J15" s="698"/>
      <c r="K15" s="263"/>
      <c r="L15" s="401"/>
      <c r="M15" s="410">
        <v>0.017489665502381492</v>
      </c>
      <c r="N15" s="4"/>
      <c r="O15" s="405">
        <v>0.005133540276409341</v>
      </c>
      <c r="S15" s="1">
        <v>981.096</v>
      </c>
      <c r="T15" s="1">
        <v>7268.378</v>
      </c>
      <c r="W15" s="1">
        <v>2619.884</v>
      </c>
      <c r="X15" s="1">
        <v>46639.751</v>
      </c>
      <c r="Y15" s="1">
        <v>16300.039</v>
      </c>
      <c r="Z15" s="1">
        <v>1313.285</v>
      </c>
      <c r="AA15" s="1">
        <v>27676.802</v>
      </c>
      <c r="AB15" s="1">
        <v>70937.282</v>
      </c>
      <c r="AC15" s="1">
        <v>2240.147</v>
      </c>
    </row>
    <row r="16" spans="1:29" ht="12.75">
      <c r="A16" s="20"/>
      <c r="B16" s="705" t="s">
        <v>14</v>
      </c>
      <c r="C16" s="216">
        <v>678.2197560000001</v>
      </c>
      <c r="D16" s="216"/>
      <c r="E16" s="263">
        <f t="shared" si="1"/>
        <v>1.5382620911771379</v>
      </c>
      <c r="F16" s="263"/>
      <c r="G16" s="186">
        <v>79790</v>
      </c>
      <c r="H16" s="186"/>
      <c r="I16" s="263">
        <f t="shared" si="0"/>
        <v>0.8500059606466976</v>
      </c>
      <c r="J16" s="698"/>
      <c r="K16" s="263"/>
      <c r="L16" s="401"/>
      <c r="M16" s="410">
        <v>0.015382620911771379</v>
      </c>
      <c r="N16" s="4"/>
      <c r="O16" s="405">
        <v>0.008500059606466976</v>
      </c>
      <c r="S16" s="1">
        <v>271.185</v>
      </c>
      <c r="T16" s="1">
        <v>859724.689</v>
      </c>
      <c r="W16" s="1">
        <v>2926</v>
      </c>
      <c r="X16" s="1">
        <v>242307.816</v>
      </c>
      <c r="Y16" s="1">
        <v>29607.291</v>
      </c>
      <c r="Z16" s="1">
        <v>1060.855</v>
      </c>
      <c r="AA16" s="1">
        <v>1432</v>
      </c>
      <c r="AB16" s="1">
        <v>7733</v>
      </c>
      <c r="AC16" s="1">
        <v>5225</v>
      </c>
    </row>
    <row r="17" spans="1:29" ht="12.75">
      <c r="A17" s="20"/>
      <c r="B17" s="705" t="s">
        <v>15</v>
      </c>
      <c r="C17" s="216">
        <v>624.885448</v>
      </c>
      <c r="D17" s="216"/>
      <c r="E17" s="263">
        <f t="shared" si="1"/>
        <v>1.41729518711726</v>
      </c>
      <c r="F17" s="263"/>
      <c r="G17" s="186">
        <v>138838</v>
      </c>
      <c r="H17" s="186"/>
      <c r="I17" s="263">
        <f t="shared" si="0"/>
        <v>0.45008243276336446</v>
      </c>
      <c r="J17" s="698"/>
      <c r="K17" s="263"/>
      <c r="L17" s="401"/>
      <c r="M17" s="410">
        <v>0.0141729518711726</v>
      </c>
      <c r="N17" s="4"/>
      <c r="O17" s="405">
        <v>0.004500824327633645</v>
      </c>
      <c r="S17" s="1">
        <v>52.44</v>
      </c>
      <c r="T17" s="1">
        <v>906158.855</v>
      </c>
      <c r="W17" s="1">
        <v>514.666</v>
      </c>
      <c r="X17" s="1">
        <v>104266</v>
      </c>
      <c r="Y17" s="1">
        <v>27912</v>
      </c>
      <c r="Z17" s="1">
        <v>1659.649</v>
      </c>
      <c r="AA17" s="1">
        <v>326.519</v>
      </c>
      <c r="AB17" s="1">
        <v>3256.584</v>
      </c>
      <c r="AC17" s="1">
        <v>45.1</v>
      </c>
    </row>
    <row r="18" spans="1:29" ht="12.75">
      <c r="A18" s="20"/>
      <c r="B18" s="705" t="s">
        <v>101</v>
      </c>
      <c r="C18" s="216">
        <v>602.568272</v>
      </c>
      <c r="D18" s="216"/>
      <c r="E18" s="263">
        <f t="shared" si="1"/>
        <v>1.3666778679972782</v>
      </c>
      <c r="F18" s="263"/>
      <c r="G18" s="186">
        <v>34309</v>
      </c>
      <c r="H18" s="186"/>
      <c r="I18" s="263">
        <f t="shared" si="0"/>
        <v>1.7562979742924596</v>
      </c>
      <c r="J18" s="698"/>
      <c r="K18" s="263"/>
      <c r="L18" s="401"/>
      <c r="M18" s="410">
        <v>0.013666778679972782</v>
      </c>
      <c r="N18" s="4"/>
      <c r="O18" s="405">
        <v>0.017562979742924596</v>
      </c>
      <c r="S18" s="1">
        <v>1125.833</v>
      </c>
      <c r="T18" s="1">
        <v>1342.946</v>
      </c>
      <c r="W18" s="1">
        <v>206.029</v>
      </c>
      <c r="X18" s="1">
        <v>60618.156</v>
      </c>
      <c r="Y18" s="1">
        <v>10941.449</v>
      </c>
      <c r="Z18" s="1">
        <v>1361.662</v>
      </c>
      <c r="AA18" s="1">
        <v>559.798</v>
      </c>
      <c r="AB18" s="1">
        <v>2340.123</v>
      </c>
      <c r="AC18" s="1">
        <v>145.326</v>
      </c>
    </row>
    <row r="19" spans="1:29" ht="12.75">
      <c r="A19" s="20"/>
      <c r="B19" s="705" t="s">
        <v>16</v>
      </c>
      <c r="C19" s="216">
        <v>520.311943</v>
      </c>
      <c r="D19" s="216"/>
      <c r="E19" s="263">
        <f t="shared" si="1"/>
        <v>1.1801132751190748</v>
      </c>
      <c r="F19" s="263"/>
      <c r="G19" s="188">
        <v>42655</v>
      </c>
      <c r="H19" s="188"/>
      <c r="I19" s="263">
        <f t="shared" si="0"/>
        <v>1.219814659477201</v>
      </c>
      <c r="J19" s="698"/>
      <c r="K19" s="263"/>
      <c r="L19" s="401"/>
      <c r="M19" s="410">
        <v>0.011801132751190747</v>
      </c>
      <c r="N19" s="4"/>
      <c r="O19" s="405">
        <v>0.01219814659477201</v>
      </c>
      <c r="S19" s="1">
        <v>158.225</v>
      </c>
      <c r="T19" s="1">
        <v>91519.972</v>
      </c>
      <c r="W19" s="1">
        <v>138.519</v>
      </c>
      <c r="X19" s="1">
        <v>17337.55</v>
      </c>
      <c r="Y19" s="1">
        <v>3562.251</v>
      </c>
      <c r="Z19" s="1">
        <v>9615.957</v>
      </c>
      <c r="AA19" s="1">
        <v>107.288</v>
      </c>
      <c r="AB19" s="1">
        <v>1726.211</v>
      </c>
      <c r="AC19" s="1">
        <v>10.336</v>
      </c>
    </row>
    <row r="20" spans="1:29" ht="12.75">
      <c r="A20" s="20"/>
      <c r="B20" s="705" t="s">
        <v>392</v>
      </c>
      <c r="C20" s="21"/>
      <c r="D20" s="21"/>
      <c r="E20" s="237">
        <f t="shared" si="1"/>
        <v>0</v>
      </c>
      <c r="F20" s="237"/>
      <c r="G20" s="21"/>
      <c r="H20" s="21"/>
      <c r="I20" s="237">
        <f t="shared" si="0"/>
        <v>0</v>
      </c>
      <c r="J20" s="699"/>
      <c r="K20" s="237"/>
      <c r="L20" s="401"/>
      <c r="M20" s="411"/>
      <c r="N20" s="4"/>
      <c r="O20" s="406"/>
      <c r="S20" s="1">
        <v>2837.056</v>
      </c>
      <c r="T20" s="1">
        <v>1072.506</v>
      </c>
      <c r="W20" s="1">
        <v>374.927</v>
      </c>
      <c r="X20" s="1">
        <v>13435.423</v>
      </c>
      <c r="Y20" s="1">
        <v>7865.222</v>
      </c>
      <c r="Z20" s="1">
        <v>175445.279</v>
      </c>
      <c r="AA20" s="1">
        <v>300.931</v>
      </c>
      <c r="AB20" s="1">
        <v>4089.863</v>
      </c>
      <c r="AC20" s="1">
        <v>978.785</v>
      </c>
    </row>
    <row r="21" spans="1:29" ht="12.75">
      <c r="A21" s="20"/>
      <c r="B21" s="706" t="s">
        <v>393</v>
      </c>
      <c r="C21" s="216">
        <v>511.487659</v>
      </c>
      <c r="D21" s="216"/>
      <c r="E21" s="263">
        <f t="shared" si="1"/>
        <v>1.1600990224540713</v>
      </c>
      <c r="F21" s="263"/>
      <c r="G21" s="186">
        <v>30126</v>
      </c>
      <c r="H21" s="186"/>
      <c r="I21" s="263">
        <f t="shared" si="0"/>
        <v>1.6978279857930028</v>
      </c>
      <c r="J21" s="698"/>
      <c r="K21" s="263"/>
      <c r="L21" s="401"/>
      <c r="M21" s="410">
        <v>0.011600990224540713</v>
      </c>
      <c r="N21" s="4"/>
      <c r="O21" s="405">
        <v>0.016978279857930028</v>
      </c>
      <c r="S21" s="1"/>
      <c r="T21" s="1"/>
      <c r="W21" s="1"/>
      <c r="X21" s="1"/>
      <c r="Y21" s="1"/>
      <c r="Z21" s="1"/>
      <c r="AA21" s="1"/>
      <c r="AB21" s="1"/>
      <c r="AC21" s="1"/>
    </row>
    <row r="22" spans="1:29" ht="12.75">
      <c r="A22" s="20"/>
      <c r="B22" s="705" t="s">
        <v>17</v>
      </c>
      <c r="C22" s="216">
        <v>494.648</v>
      </c>
      <c r="D22" s="216"/>
      <c r="E22" s="263">
        <f t="shared" si="1"/>
        <v>1.1219051939215243</v>
      </c>
      <c r="F22" s="263"/>
      <c r="G22" s="186">
        <v>101421</v>
      </c>
      <c r="H22" s="186"/>
      <c r="I22" s="263">
        <f t="shared" si="0"/>
        <v>0.48771753384407573</v>
      </c>
      <c r="J22" s="698"/>
      <c r="K22" s="263"/>
      <c r="L22" s="401"/>
      <c r="M22" s="410">
        <v>0.011219051939215243</v>
      </c>
      <c r="N22" s="4"/>
      <c r="O22" s="405">
        <v>0.004877175338440757</v>
      </c>
      <c r="S22" s="1">
        <v>1749.395</v>
      </c>
      <c r="T22" s="1">
        <v>40984.921</v>
      </c>
      <c r="W22" s="1">
        <v>1428.752</v>
      </c>
      <c r="X22" s="1">
        <v>9038.718</v>
      </c>
      <c r="Y22" s="1">
        <v>2942.871</v>
      </c>
      <c r="Z22" s="1">
        <v>145.862</v>
      </c>
      <c r="AA22" s="1">
        <v>1418.218</v>
      </c>
      <c r="AB22" s="1">
        <v>2033.029</v>
      </c>
      <c r="AC22" s="1">
        <v>22.176</v>
      </c>
    </row>
    <row r="23" spans="1:29" ht="12.75">
      <c r="A23" s="20"/>
      <c r="B23" s="705" t="s">
        <v>18</v>
      </c>
      <c r="C23" s="216">
        <v>368.02</v>
      </c>
      <c r="D23" s="216"/>
      <c r="E23" s="263">
        <f t="shared" si="1"/>
        <v>0.8347017464277613</v>
      </c>
      <c r="F23" s="263"/>
      <c r="G23" s="188" t="s">
        <v>19</v>
      </c>
      <c r="H23" s="188"/>
      <c r="I23" s="408" t="s">
        <v>19</v>
      </c>
      <c r="J23" s="700"/>
      <c r="K23" s="408"/>
      <c r="L23" s="401"/>
      <c r="M23" s="410">
        <v>0.008347017464277613</v>
      </c>
      <c r="N23" s="4"/>
      <c r="O23" s="404" t="s">
        <v>19</v>
      </c>
      <c r="S23" s="1">
        <v>238.972</v>
      </c>
      <c r="T23" s="1">
        <v>57450.705</v>
      </c>
      <c r="W23" s="1">
        <v>1492.075</v>
      </c>
      <c r="X23" s="1">
        <v>21930.663</v>
      </c>
      <c r="Y23" s="1">
        <v>10726.342</v>
      </c>
      <c r="Z23" s="1">
        <v>200387</v>
      </c>
      <c r="AA23" s="1">
        <v>5825.784</v>
      </c>
      <c r="AB23" s="1">
        <v>21690.135</v>
      </c>
      <c r="AC23" s="1">
        <v>2470.052</v>
      </c>
    </row>
    <row r="24" spans="1:29" ht="12.75">
      <c r="A24" s="20"/>
      <c r="B24" s="705" t="s">
        <v>20</v>
      </c>
      <c r="C24" s="216">
        <v>366.873007</v>
      </c>
      <c r="D24" s="216"/>
      <c r="E24" s="263">
        <f t="shared" si="1"/>
        <v>0.8321002653662961</v>
      </c>
      <c r="F24" s="263"/>
      <c r="G24" s="186">
        <v>14725</v>
      </c>
      <c r="H24" s="186"/>
      <c r="I24" s="263">
        <f aca="true" t="shared" si="2" ref="I24:I41">O24*100</f>
        <v>2.491497500848896</v>
      </c>
      <c r="J24" s="698"/>
      <c r="K24" s="263"/>
      <c r="L24" s="401"/>
      <c r="M24" s="410">
        <v>0.008321002653662962</v>
      </c>
      <c r="N24" s="4"/>
      <c r="O24" s="405">
        <v>0.024914975008488962</v>
      </c>
      <c r="S24" s="1">
        <v>68444.357</v>
      </c>
      <c r="T24" s="1">
        <v>11005.048</v>
      </c>
      <c r="W24" s="1">
        <v>465.012</v>
      </c>
      <c r="X24" s="1">
        <v>69317.088</v>
      </c>
      <c r="Y24" s="1">
        <v>29479.094</v>
      </c>
      <c r="Z24" s="1">
        <v>12206.918</v>
      </c>
      <c r="AA24" s="1">
        <v>5244.331</v>
      </c>
      <c r="AB24" s="1">
        <v>14770.471</v>
      </c>
      <c r="AC24" s="1">
        <v>259.939</v>
      </c>
    </row>
    <row r="25" spans="1:29" ht="12.75">
      <c r="A25" s="20"/>
      <c r="B25" s="705" t="s">
        <v>92</v>
      </c>
      <c r="C25" s="216">
        <v>300.154067</v>
      </c>
      <c r="D25" s="216"/>
      <c r="E25" s="263">
        <f t="shared" si="1"/>
        <v>0.6807758380585166</v>
      </c>
      <c r="F25" s="263"/>
      <c r="G25" s="186">
        <v>27780</v>
      </c>
      <c r="H25" s="186"/>
      <c r="I25" s="263">
        <f t="shared" si="2"/>
        <v>1.0804682037437003</v>
      </c>
      <c r="J25" s="698"/>
      <c r="K25" s="263"/>
      <c r="L25" s="401"/>
      <c r="M25" s="410">
        <v>0.006807758380585166</v>
      </c>
      <c r="N25" s="4"/>
      <c r="O25" s="405">
        <v>0.010804682037437004</v>
      </c>
      <c r="S25" s="1">
        <v>16439.391</v>
      </c>
      <c r="T25" s="1">
        <v>148013.439</v>
      </c>
      <c r="W25" s="1">
        <v>7.072</v>
      </c>
      <c r="X25" s="1">
        <v>107504.86</v>
      </c>
      <c r="Y25" s="1">
        <v>29708.479</v>
      </c>
      <c r="Z25" s="1">
        <v>961.852</v>
      </c>
      <c r="AA25" s="1">
        <v>88.239</v>
      </c>
      <c r="AB25" s="1">
        <v>439.454</v>
      </c>
      <c r="AC25" s="1">
        <v>8.968</v>
      </c>
    </row>
    <row r="26" spans="1:29" ht="12.75">
      <c r="A26" s="20"/>
      <c r="B26" s="705" t="s">
        <v>21</v>
      </c>
      <c r="C26" s="216">
        <v>287.969619</v>
      </c>
      <c r="D26" s="216"/>
      <c r="E26" s="263">
        <f t="shared" si="1"/>
        <v>0.6531404377409844</v>
      </c>
      <c r="F26" s="263"/>
      <c r="G26" s="186">
        <v>78555</v>
      </c>
      <c r="H26" s="186"/>
      <c r="I26" s="263">
        <f t="shared" si="2"/>
        <v>0.36658343708229907</v>
      </c>
      <c r="J26" s="698"/>
      <c r="K26" s="263"/>
      <c r="L26" s="401"/>
      <c r="M26" s="410">
        <v>0.006531404377409844</v>
      </c>
      <c r="N26" s="4"/>
      <c r="O26" s="405">
        <v>0.0036658343708229906</v>
      </c>
      <c r="S26" s="1">
        <v>1003.854</v>
      </c>
      <c r="T26" s="1">
        <v>5384.445</v>
      </c>
      <c r="W26" s="1">
        <v>31.684</v>
      </c>
      <c r="X26" s="1">
        <v>1372.398</v>
      </c>
      <c r="Y26" s="1">
        <v>104.683</v>
      </c>
      <c r="Z26" s="1">
        <v>1479.948</v>
      </c>
      <c r="AA26" s="1">
        <v>613.467</v>
      </c>
      <c r="AB26" s="1">
        <v>1148.378</v>
      </c>
      <c r="AC26" s="1">
        <v>3.727</v>
      </c>
    </row>
    <row r="27" spans="1:29" ht="12.75">
      <c r="A27" s="20"/>
      <c r="B27" s="705" t="s">
        <v>22</v>
      </c>
      <c r="C27" s="216">
        <v>254.941113</v>
      </c>
      <c r="D27" s="216"/>
      <c r="E27" s="263">
        <f t="shared" si="1"/>
        <v>0.5782288795645271</v>
      </c>
      <c r="F27" s="263"/>
      <c r="G27" s="186">
        <v>23733</v>
      </c>
      <c r="H27" s="186"/>
      <c r="I27" s="263">
        <f t="shared" si="2"/>
        <v>1.0742051700164328</v>
      </c>
      <c r="J27" s="698"/>
      <c r="K27" s="263"/>
      <c r="L27" s="401"/>
      <c r="M27" s="410">
        <v>0.005782288795645271</v>
      </c>
      <c r="N27" s="4"/>
      <c r="O27" s="405">
        <v>0.010742051700164328</v>
      </c>
      <c r="S27" s="1">
        <v>8193.807</v>
      </c>
      <c r="T27" s="1">
        <v>20087.253</v>
      </c>
      <c r="W27" s="1">
        <v>17.787</v>
      </c>
      <c r="X27" s="1">
        <v>31091.13</v>
      </c>
      <c r="Y27" s="1">
        <v>3466.739</v>
      </c>
      <c r="Z27" s="1">
        <v>353.084</v>
      </c>
      <c r="AA27" s="1">
        <v>298.304</v>
      </c>
      <c r="AB27" s="1">
        <v>1073.409</v>
      </c>
      <c r="AC27" s="1">
        <v>2702.334</v>
      </c>
    </row>
    <row r="28" spans="1:29" ht="12.75">
      <c r="A28" s="20"/>
      <c r="B28" s="705" t="s">
        <v>23</v>
      </c>
      <c r="C28" s="216">
        <v>232.718</v>
      </c>
      <c r="D28" s="216"/>
      <c r="E28" s="263">
        <f t="shared" si="1"/>
        <v>0.5278249036062599</v>
      </c>
      <c r="F28" s="263"/>
      <c r="G28" s="186">
        <v>31270</v>
      </c>
      <c r="H28" s="186"/>
      <c r="I28" s="263">
        <f t="shared" si="2"/>
        <v>0.7442212983690437</v>
      </c>
      <c r="J28" s="698"/>
      <c r="K28" s="263"/>
      <c r="L28" s="401"/>
      <c r="M28" s="410">
        <v>0.005278249036062599</v>
      </c>
      <c r="N28" s="4"/>
      <c r="O28" s="405">
        <v>0.007442212983690437</v>
      </c>
      <c r="S28" s="1">
        <v>88.703</v>
      </c>
      <c r="T28" s="1">
        <v>5383.929</v>
      </c>
      <c r="W28" s="1">
        <v>20.281</v>
      </c>
      <c r="X28" s="1">
        <v>11852.309</v>
      </c>
      <c r="Y28" s="1">
        <v>3609.837</v>
      </c>
      <c r="Z28" s="1">
        <v>8204</v>
      </c>
      <c r="AA28" s="1">
        <v>410.187</v>
      </c>
      <c r="AB28" s="1">
        <v>1024.257</v>
      </c>
      <c r="AC28" s="1">
        <v>0.75</v>
      </c>
    </row>
    <row r="29" spans="1:29" ht="12.75">
      <c r="A29" s="20"/>
      <c r="B29" s="705" t="s">
        <v>24</v>
      </c>
      <c r="C29" s="216">
        <v>202.02472</v>
      </c>
      <c r="D29" s="216"/>
      <c r="E29" s="263">
        <f t="shared" si="1"/>
        <v>0.4582098435019279</v>
      </c>
      <c r="F29" s="263"/>
      <c r="G29" s="186">
        <v>37376</v>
      </c>
      <c r="H29" s="186"/>
      <c r="I29" s="263">
        <f t="shared" si="2"/>
        <v>0.5405199058219178</v>
      </c>
      <c r="J29" s="698"/>
      <c r="K29" s="263"/>
      <c r="L29" s="401"/>
      <c r="M29" s="410">
        <v>0.004582098435019279</v>
      </c>
      <c r="N29" s="4"/>
      <c r="O29" s="405">
        <v>0.005405199058219178</v>
      </c>
      <c r="S29" s="1">
        <v>829.958</v>
      </c>
      <c r="T29" s="1">
        <v>23138.082</v>
      </c>
      <c r="W29" s="1">
        <v>92.169</v>
      </c>
      <c r="X29" s="1">
        <v>14988.223</v>
      </c>
      <c r="Y29" s="1">
        <v>821.26</v>
      </c>
      <c r="Z29" s="1">
        <v>923.909</v>
      </c>
      <c r="AA29" s="1">
        <v>494.933</v>
      </c>
      <c r="AB29" s="1">
        <v>3324.101</v>
      </c>
      <c r="AC29" s="1">
        <v>49.602</v>
      </c>
    </row>
    <row r="30" spans="1:29" ht="12.75">
      <c r="A30" s="20"/>
      <c r="B30" s="705" t="s">
        <v>25</v>
      </c>
      <c r="C30" s="216">
        <v>159.15424</v>
      </c>
      <c r="D30" s="216"/>
      <c r="E30" s="263">
        <f t="shared" si="1"/>
        <v>0.3609758221819006</v>
      </c>
      <c r="F30" s="263"/>
      <c r="G30" s="186">
        <v>13674</v>
      </c>
      <c r="H30" s="186"/>
      <c r="I30" s="263">
        <f t="shared" si="2"/>
        <v>1.1639186777826531</v>
      </c>
      <c r="J30" s="698"/>
      <c r="K30" s="263"/>
      <c r="L30" s="401"/>
      <c r="M30" s="410">
        <v>0.003609758221819006</v>
      </c>
      <c r="N30" s="4"/>
      <c r="O30" s="405">
        <v>0.011639186777826532</v>
      </c>
      <c r="S30" s="1">
        <v>123.328</v>
      </c>
      <c r="T30" s="1">
        <v>13707.098</v>
      </c>
      <c r="W30" s="1">
        <v>1389.537</v>
      </c>
      <c r="X30" s="1">
        <v>4854.988</v>
      </c>
      <c r="Y30" s="1">
        <v>3061.49</v>
      </c>
      <c r="Z30" s="1">
        <v>53026.181</v>
      </c>
      <c r="AA30" s="1">
        <v>4435.216</v>
      </c>
      <c r="AB30" s="1">
        <v>7563.771</v>
      </c>
      <c r="AC30" s="1">
        <v>230.316</v>
      </c>
    </row>
    <row r="31" spans="1:29" ht="12.75">
      <c r="A31" s="20"/>
      <c r="B31" s="705" t="s">
        <v>26</v>
      </c>
      <c r="C31" s="216">
        <v>141.542146</v>
      </c>
      <c r="D31" s="216"/>
      <c r="E31" s="263">
        <f t="shared" si="1"/>
        <v>0.32103004309367206</v>
      </c>
      <c r="F31" s="263"/>
      <c r="G31" s="186">
        <v>34122</v>
      </c>
      <c r="H31" s="186"/>
      <c r="I31" s="263">
        <f t="shared" si="2"/>
        <v>0.41481198640173494</v>
      </c>
      <c r="J31" s="698"/>
      <c r="K31" s="263"/>
      <c r="L31" s="401"/>
      <c r="M31" s="410">
        <v>0.0032103004309367205</v>
      </c>
      <c r="N31" s="4"/>
      <c r="O31" s="405">
        <v>0.0041481198640173494</v>
      </c>
      <c r="S31" s="1">
        <v>20415.102</v>
      </c>
      <c r="T31" s="1">
        <v>1989.809</v>
      </c>
      <c r="W31" s="1">
        <v>40316.806</v>
      </c>
      <c r="X31" s="1">
        <v>51644.342</v>
      </c>
      <c r="Y31" s="1">
        <v>30437.385</v>
      </c>
      <c r="Z31" s="1">
        <v>3049.758</v>
      </c>
      <c r="AA31" s="1">
        <v>36847.889</v>
      </c>
      <c r="AB31" s="1">
        <v>155087.013</v>
      </c>
      <c r="AC31" s="1">
        <v>9283.414</v>
      </c>
    </row>
    <row r="32" spans="1:29" ht="12.75">
      <c r="A32" s="20"/>
      <c r="B32" s="705" t="s">
        <v>27</v>
      </c>
      <c r="C32" s="216">
        <v>135.747604</v>
      </c>
      <c r="D32" s="216"/>
      <c r="E32" s="263">
        <f t="shared" si="1"/>
        <v>0.307887511907462</v>
      </c>
      <c r="F32" s="263"/>
      <c r="G32" s="186">
        <v>17828</v>
      </c>
      <c r="H32" s="186"/>
      <c r="I32" s="263">
        <f t="shared" si="2"/>
        <v>0.7614292349113754</v>
      </c>
      <c r="J32" s="698"/>
      <c r="K32" s="263"/>
      <c r="L32" s="401"/>
      <c r="M32" s="410">
        <v>0.00307887511907462</v>
      </c>
      <c r="N32" s="4"/>
      <c r="O32" s="405">
        <v>0.0076142923491137535</v>
      </c>
      <c r="S32" s="1">
        <v>2491.583</v>
      </c>
      <c r="T32" s="1">
        <v>5443.936</v>
      </c>
      <c r="W32" s="1">
        <v>0.6</v>
      </c>
      <c r="X32" s="1">
        <v>666650.583</v>
      </c>
      <c r="Y32" s="1">
        <v>392426.089</v>
      </c>
      <c r="Z32" s="1">
        <v>15496.263</v>
      </c>
      <c r="AA32" s="1">
        <v>36.767</v>
      </c>
      <c r="AB32" s="1">
        <v>740.276</v>
      </c>
      <c r="AC32" s="1">
        <v>8.144</v>
      </c>
    </row>
    <row r="33" spans="1:29" ht="12.75">
      <c r="A33" s="20"/>
      <c r="B33" s="705" t="s">
        <v>28</v>
      </c>
      <c r="C33" s="216">
        <v>128.337407</v>
      </c>
      <c r="D33" s="216"/>
      <c r="E33" s="263">
        <f t="shared" si="1"/>
        <v>0.2910805330006805</v>
      </c>
      <c r="F33" s="263"/>
      <c r="G33" s="186">
        <v>42464</v>
      </c>
      <c r="H33" s="186"/>
      <c r="I33" s="263">
        <f t="shared" si="2"/>
        <v>0.3022263729276564</v>
      </c>
      <c r="J33" s="698"/>
      <c r="K33" s="263"/>
      <c r="L33" s="401"/>
      <c r="M33" s="410">
        <v>0.0029108053300068047</v>
      </c>
      <c r="N33" s="4"/>
      <c r="O33" s="405">
        <v>0.003022263729276564</v>
      </c>
      <c r="S33" s="1">
        <v>14853.718</v>
      </c>
      <c r="T33" s="1">
        <v>1464.605</v>
      </c>
      <c r="W33" s="1">
        <v>3692</v>
      </c>
      <c r="X33" s="1">
        <v>6045.027</v>
      </c>
      <c r="Y33" s="1">
        <v>3438.689</v>
      </c>
      <c r="Z33" s="1">
        <v>23695</v>
      </c>
      <c r="AA33" s="1">
        <v>40180</v>
      </c>
      <c r="AB33" s="1">
        <v>85104</v>
      </c>
      <c r="AC33" s="1">
        <v>14433</v>
      </c>
    </row>
    <row r="34" spans="1:29" ht="12.75">
      <c r="A34" s="20"/>
      <c r="B34" s="705" t="s">
        <v>29</v>
      </c>
      <c r="C34" s="216">
        <v>127.613091</v>
      </c>
      <c r="D34" s="216"/>
      <c r="E34" s="263">
        <f t="shared" si="1"/>
        <v>0.2894377205715582</v>
      </c>
      <c r="F34" s="263"/>
      <c r="G34" s="186">
        <v>27450</v>
      </c>
      <c r="H34" s="186"/>
      <c r="I34" s="263">
        <f t="shared" si="2"/>
        <v>0.46489286338797814</v>
      </c>
      <c r="J34" s="698"/>
      <c r="K34" s="263"/>
      <c r="L34" s="401"/>
      <c r="M34" s="410">
        <v>0.0028943772057155818</v>
      </c>
      <c r="N34" s="4"/>
      <c r="O34" s="405">
        <v>0.004648928633879781</v>
      </c>
      <c r="S34" s="1">
        <v>3739.645</v>
      </c>
      <c r="T34" s="1">
        <v>1526.975</v>
      </c>
      <c r="W34" s="1">
        <v>1416.145</v>
      </c>
      <c r="X34" s="1">
        <v>618866</v>
      </c>
      <c r="Y34" s="1">
        <v>320789</v>
      </c>
      <c r="Z34" s="1">
        <v>82757.575</v>
      </c>
      <c r="AA34" s="1">
        <v>2898.098</v>
      </c>
      <c r="AB34" s="1">
        <v>7536.397</v>
      </c>
      <c r="AC34" s="1">
        <v>568.841</v>
      </c>
    </row>
    <row r="35" spans="1:29" ht="12.75">
      <c r="A35" s="20"/>
      <c r="B35" s="705" t="s">
        <v>30</v>
      </c>
      <c r="C35" s="216">
        <v>112.158</v>
      </c>
      <c r="D35" s="216"/>
      <c r="E35" s="263">
        <f t="shared" si="1"/>
        <v>0.2543842141075074</v>
      </c>
      <c r="F35" s="263"/>
      <c r="G35" s="186">
        <v>16210</v>
      </c>
      <c r="H35" s="186"/>
      <c r="I35" s="263">
        <f t="shared" si="2"/>
        <v>0.6919062307217767</v>
      </c>
      <c r="J35" s="698"/>
      <c r="K35" s="263"/>
      <c r="L35" s="401"/>
      <c r="M35" s="410">
        <v>0.0025438421410750736</v>
      </c>
      <c r="N35" s="4"/>
      <c r="O35" s="405">
        <v>0.006919062307217767</v>
      </c>
      <c r="S35" s="1">
        <v>7139.167</v>
      </c>
      <c r="T35" s="1">
        <v>2074.01</v>
      </c>
      <c r="W35" s="1">
        <v>40.617</v>
      </c>
      <c r="X35" s="1">
        <v>56100.341</v>
      </c>
      <c r="Y35" s="1">
        <v>38500.515</v>
      </c>
      <c r="Z35" s="1">
        <v>362.991</v>
      </c>
      <c r="AA35" s="1">
        <v>33.881</v>
      </c>
      <c r="AB35" s="1">
        <v>477.216</v>
      </c>
      <c r="AC35" s="1">
        <v>3.946</v>
      </c>
    </row>
    <row r="36" spans="1:29" ht="12.75">
      <c r="A36" s="20"/>
      <c r="B36" s="705" t="s">
        <v>31</v>
      </c>
      <c r="C36" s="216">
        <v>83.880931</v>
      </c>
      <c r="D36" s="216"/>
      <c r="E36" s="263">
        <f t="shared" si="1"/>
        <v>0.19024933318212747</v>
      </c>
      <c r="F36" s="263"/>
      <c r="G36" s="186">
        <v>10532</v>
      </c>
      <c r="H36" s="186"/>
      <c r="I36" s="263">
        <f t="shared" si="2"/>
        <v>0.7964387675655147</v>
      </c>
      <c r="J36" s="698"/>
      <c r="K36" s="263"/>
      <c r="L36" s="401"/>
      <c r="M36" s="410">
        <v>0.0019024933318212748</v>
      </c>
      <c r="N36" s="4"/>
      <c r="O36" s="405">
        <v>0.007964387675655146</v>
      </c>
      <c r="S36" s="1">
        <v>401466.165</v>
      </c>
      <c r="T36" s="1">
        <v>107.542</v>
      </c>
      <c r="W36" s="1">
        <v>9.427</v>
      </c>
      <c r="X36" s="1">
        <v>1706.487</v>
      </c>
      <c r="Y36" s="1">
        <v>17.606</v>
      </c>
      <c r="Z36" s="1">
        <v>90684.692</v>
      </c>
      <c r="AA36" s="1">
        <v>306.375</v>
      </c>
      <c r="AB36" s="1">
        <v>1837.752</v>
      </c>
      <c r="AC36" s="1">
        <v>8.731</v>
      </c>
    </row>
    <row r="37" spans="1:29" ht="12.75">
      <c r="A37" s="20"/>
      <c r="B37" s="705" t="s">
        <v>32</v>
      </c>
      <c r="C37" s="216">
        <v>72.19489</v>
      </c>
      <c r="D37" s="216"/>
      <c r="E37" s="263">
        <f t="shared" si="1"/>
        <v>0.1637443638013155</v>
      </c>
      <c r="F37" s="263"/>
      <c r="G37" s="186">
        <v>42929</v>
      </c>
      <c r="H37" s="186"/>
      <c r="I37" s="263">
        <f t="shared" si="2"/>
        <v>0.1681727736495143</v>
      </c>
      <c r="J37" s="698"/>
      <c r="K37" s="263"/>
      <c r="L37" s="401"/>
      <c r="M37" s="410">
        <v>0.0016374436380131548</v>
      </c>
      <c r="N37" s="4"/>
      <c r="O37" s="405">
        <v>0.0016817277364951431</v>
      </c>
      <c r="S37" s="1">
        <v>148535.563</v>
      </c>
      <c r="T37" s="1">
        <v>2731.374</v>
      </c>
      <c r="W37" s="1">
        <v>1014</v>
      </c>
      <c r="X37" s="1">
        <v>13584.048</v>
      </c>
      <c r="Y37" s="1">
        <v>1841.983</v>
      </c>
      <c r="Z37" s="1">
        <v>306.051</v>
      </c>
      <c r="AA37" s="1">
        <v>277.579</v>
      </c>
      <c r="AB37" s="1">
        <v>2672.936</v>
      </c>
      <c r="AC37" s="1">
        <v>1.468</v>
      </c>
    </row>
    <row r="38" spans="1:29" ht="12.75">
      <c r="A38" s="20"/>
      <c r="B38" s="705" t="s">
        <v>33</v>
      </c>
      <c r="C38" s="216">
        <v>65.048796</v>
      </c>
      <c r="D38" s="216"/>
      <c r="E38" s="263">
        <f t="shared" si="1"/>
        <v>0.1475363937400771</v>
      </c>
      <c r="F38" s="263"/>
      <c r="G38" s="186">
        <v>10930</v>
      </c>
      <c r="H38" s="186"/>
      <c r="I38" s="263">
        <f t="shared" si="2"/>
        <v>0.5951399451052151</v>
      </c>
      <c r="J38" s="698"/>
      <c r="K38" s="263"/>
      <c r="L38" s="401"/>
      <c r="M38" s="410">
        <v>0.001475363937400771</v>
      </c>
      <c r="N38" s="4"/>
      <c r="O38" s="405">
        <v>0.00595139945105215</v>
      </c>
      <c r="S38" s="1">
        <v>23870.259</v>
      </c>
      <c r="T38" s="1">
        <v>163.206</v>
      </c>
      <c r="W38" s="1">
        <v>350.492</v>
      </c>
      <c r="X38" s="1">
        <v>4273.751</v>
      </c>
      <c r="Y38" s="1">
        <v>998.27</v>
      </c>
      <c r="Z38" s="1">
        <v>130057.802</v>
      </c>
      <c r="AA38" s="1">
        <v>403</v>
      </c>
      <c r="AB38" s="1">
        <v>17656</v>
      </c>
      <c r="AC38" s="1">
        <v>1312</v>
      </c>
    </row>
    <row r="39" spans="1:29" ht="12.75">
      <c r="A39" s="20"/>
      <c r="B39" s="705" t="s">
        <v>34</v>
      </c>
      <c r="C39" s="216">
        <v>60.309664</v>
      </c>
      <c r="D39" s="216"/>
      <c r="E39" s="263">
        <f t="shared" si="1"/>
        <v>0.1367876253118621</v>
      </c>
      <c r="F39" s="263"/>
      <c r="G39" s="189">
        <v>8192</v>
      </c>
      <c r="H39" s="189"/>
      <c r="I39" s="263">
        <f t="shared" si="2"/>
        <v>0.7362019531249999</v>
      </c>
      <c r="J39" s="698"/>
      <c r="K39" s="263"/>
      <c r="L39" s="401"/>
      <c r="M39" s="410">
        <v>0.001367876253118621</v>
      </c>
      <c r="O39" s="405">
        <v>0.00736201953125</v>
      </c>
      <c r="S39" s="1">
        <v>16019.51</v>
      </c>
      <c r="T39" s="1">
        <v>3838.993</v>
      </c>
      <c r="W39" s="1">
        <v>1755.922</v>
      </c>
      <c r="X39" s="1">
        <v>25105</v>
      </c>
      <c r="Y39" s="1">
        <v>8679</v>
      </c>
      <c r="Z39" s="1">
        <v>10489.256</v>
      </c>
      <c r="AA39" s="1">
        <v>540.902</v>
      </c>
      <c r="AB39" s="1">
        <v>591.015</v>
      </c>
      <c r="AC39" s="1">
        <v>28.556</v>
      </c>
    </row>
    <row r="40" spans="1:29" ht="12.75">
      <c r="A40" s="20"/>
      <c r="B40" s="705" t="s">
        <v>35</v>
      </c>
      <c r="C40" s="216">
        <v>44.669865</v>
      </c>
      <c r="D40" s="216"/>
      <c r="E40" s="263">
        <f t="shared" si="1"/>
        <v>0.10131518484917214</v>
      </c>
      <c r="F40" s="263"/>
      <c r="G40" s="186">
        <v>3432</v>
      </c>
      <c r="H40" s="186"/>
      <c r="I40" s="263">
        <f t="shared" si="2"/>
        <v>1.301569493006993</v>
      </c>
      <c r="J40" s="698"/>
      <c r="K40" s="263"/>
      <c r="L40" s="401"/>
      <c r="M40" s="410">
        <v>0.0010131518484917214</v>
      </c>
      <c r="O40" s="405">
        <v>0.01301569493006993</v>
      </c>
      <c r="S40" s="1">
        <v>775.89</v>
      </c>
      <c r="T40" s="1">
        <v>168.539</v>
      </c>
      <c r="W40" s="1">
        <v>4092.691</v>
      </c>
      <c r="X40" s="1">
        <v>6770.475</v>
      </c>
      <c r="Y40" s="1">
        <v>3152.933</v>
      </c>
      <c r="Z40" s="1">
        <v>779.34</v>
      </c>
      <c r="AA40" s="1">
        <v>126.525</v>
      </c>
      <c r="AB40" s="1">
        <v>4404.034</v>
      </c>
      <c r="AC40" s="1">
        <v>40590.792</v>
      </c>
    </row>
    <row r="41" spans="1:29" ht="12.75">
      <c r="A41" s="20"/>
      <c r="B41" s="705" t="s">
        <v>36</v>
      </c>
      <c r="C41" s="216">
        <v>38.549296000000005</v>
      </c>
      <c r="D41" s="216"/>
      <c r="E41" s="263">
        <f t="shared" si="1"/>
        <v>0.08743319573599456</v>
      </c>
      <c r="F41" s="263"/>
      <c r="G41" s="186">
        <v>7788</v>
      </c>
      <c r="H41" s="186"/>
      <c r="I41" s="263">
        <f t="shared" si="2"/>
        <v>0.49498325629173096</v>
      </c>
      <c r="J41" s="698"/>
      <c r="K41" s="263"/>
      <c r="L41" s="401"/>
      <c r="M41" s="410">
        <v>0.0008743319573599457</v>
      </c>
      <c r="O41" s="405">
        <v>0.0049498325629173095</v>
      </c>
      <c r="S41" s="1">
        <v>8370.599</v>
      </c>
      <c r="T41" s="1">
        <v>6684.41</v>
      </c>
      <c r="W41" s="1">
        <v>107.064</v>
      </c>
      <c r="X41" s="1">
        <v>36139.989</v>
      </c>
      <c r="Y41" s="1">
        <v>3897.591</v>
      </c>
      <c r="Z41" s="1">
        <v>619.699</v>
      </c>
      <c r="AA41" s="1">
        <v>116.985</v>
      </c>
      <c r="AB41" s="1">
        <v>11196.992</v>
      </c>
      <c r="AC41" s="1">
        <v>344.969</v>
      </c>
    </row>
    <row r="42" spans="1:29" ht="12.75">
      <c r="A42" s="20"/>
      <c r="B42" s="705" t="s">
        <v>37</v>
      </c>
      <c r="C42" s="216">
        <v>26.475044999999998</v>
      </c>
      <c r="D42" s="216"/>
      <c r="E42" s="263">
        <f t="shared" si="1"/>
        <v>0.060047731911998185</v>
      </c>
      <c r="F42" s="263"/>
      <c r="G42" s="188" t="s">
        <v>19</v>
      </c>
      <c r="H42" s="188"/>
      <c r="I42" s="408" t="s">
        <v>19</v>
      </c>
      <c r="J42" s="700"/>
      <c r="K42" s="408"/>
      <c r="L42" s="401"/>
      <c r="M42" s="410">
        <v>0.0006004773191199818</v>
      </c>
      <c r="O42" s="404" t="s">
        <v>19</v>
      </c>
      <c r="S42" s="1">
        <v>4472.437</v>
      </c>
      <c r="T42" s="1">
        <v>129319</v>
      </c>
      <c r="W42" s="1">
        <v>4285</v>
      </c>
      <c r="X42" s="1">
        <v>21167.787</v>
      </c>
      <c r="Y42" s="1">
        <v>13482.647</v>
      </c>
      <c r="Z42" s="1">
        <v>354.636</v>
      </c>
      <c r="AA42" s="1">
        <v>13637.914</v>
      </c>
      <c r="AB42" s="1">
        <v>28930.394</v>
      </c>
      <c r="AC42" s="1">
        <v>1038.615</v>
      </c>
    </row>
    <row r="43" spans="1:29" ht="12.75">
      <c r="A43" s="20"/>
      <c r="B43" s="705" t="s">
        <v>38</v>
      </c>
      <c r="C43" s="216">
        <v>13.950033</v>
      </c>
      <c r="D43" s="216"/>
      <c r="E43" s="263">
        <f t="shared" si="1"/>
        <v>0.03163990247221592</v>
      </c>
      <c r="F43" s="263"/>
      <c r="G43" s="188" t="s">
        <v>19</v>
      </c>
      <c r="H43" s="188"/>
      <c r="I43" s="408" t="s">
        <v>19</v>
      </c>
      <c r="J43" s="700"/>
      <c r="K43" s="408"/>
      <c r="L43" s="401"/>
      <c r="M43" s="410">
        <v>0.0003163990247221592</v>
      </c>
      <c r="O43" s="404" t="s">
        <v>19</v>
      </c>
      <c r="S43" s="1">
        <v>15398.941</v>
      </c>
      <c r="T43" s="1">
        <v>995937.577</v>
      </c>
      <c r="W43" s="1">
        <v>2587.628</v>
      </c>
      <c r="X43" s="1">
        <v>123062.005</v>
      </c>
      <c r="Y43" s="1">
        <v>69606.385</v>
      </c>
      <c r="Z43" s="1">
        <v>12388.89</v>
      </c>
      <c r="AA43" s="1">
        <v>1210</v>
      </c>
      <c r="AB43" s="1">
        <v>5237</v>
      </c>
      <c r="AC43" s="1">
        <v>204</v>
      </c>
    </row>
    <row r="44" spans="1:29" ht="13.5" thickBot="1">
      <c r="A44" s="20"/>
      <c r="B44" s="708" t="s">
        <v>39</v>
      </c>
      <c r="C44" s="709">
        <f>44090-SUM(C7:C43)</f>
        <v>889.1465089999765</v>
      </c>
      <c r="D44" s="709"/>
      <c r="E44" s="710">
        <f t="shared" si="1"/>
        <v>2.0166625289180686</v>
      </c>
      <c r="F44" s="710"/>
      <c r="G44" s="711">
        <f>G45-SUM(G7:G43)</f>
        <v>657964</v>
      </c>
      <c r="H44" s="711"/>
      <c r="I44" s="710">
        <f>O44*100</f>
        <v>0.13513604224546882</v>
      </c>
      <c r="J44" s="712"/>
      <c r="K44" s="263"/>
      <c r="L44" s="401"/>
      <c r="M44" s="410">
        <v>0.020166625289180687</v>
      </c>
      <c r="O44" s="405">
        <v>0.0013513604224546882</v>
      </c>
      <c r="S44" s="1"/>
      <c r="T44" s="1"/>
      <c r="W44" s="1"/>
      <c r="X44" s="1"/>
      <c r="Y44" s="1"/>
      <c r="Z44" s="1"/>
      <c r="AA44" s="1"/>
      <c r="AB44" s="1"/>
      <c r="AC44" s="1"/>
    </row>
    <row r="45" spans="1:29" ht="20.25" customHeight="1" thickTop="1">
      <c r="A45" s="20"/>
      <c r="B45" s="707" t="s">
        <v>40</v>
      </c>
      <c r="C45" s="299">
        <v>44090</v>
      </c>
      <c r="D45" s="299"/>
      <c r="E45" s="415">
        <f t="shared" si="1"/>
        <v>99.99999999999993</v>
      </c>
      <c r="F45" s="415"/>
      <c r="G45" s="416">
        <v>5419000</v>
      </c>
      <c r="H45" s="416"/>
      <c r="I45" s="415">
        <f>O45*100</f>
        <v>0.8136187488466506</v>
      </c>
      <c r="J45" s="701"/>
      <c r="K45" s="409"/>
      <c r="L45" s="401"/>
      <c r="M45" s="412">
        <v>0.9999999999999993</v>
      </c>
      <c r="O45" s="407">
        <v>0.008136187488466506</v>
      </c>
      <c r="S45" s="1">
        <v>22757.889</v>
      </c>
      <c r="T45" s="1">
        <v>1135.124</v>
      </c>
      <c r="W45" s="1">
        <v>41.865</v>
      </c>
      <c r="X45" s="1">
        <v>36349</v>
      </c>
      <c r="Y45" s="1">
        <v>9209</v>
      </c>
      <c r="Z45" s="1">
        <v>2333.635</v>
      </c>
      <c r="AA45" s="1">
        <v>5537.892</v>
      </c>
      <c r="AB45" s="1">
        <v>35095.356</v>
      </c>
      <c r="AC45" s="1">
        <v>17.404</v>
      </c>
    </row>
    <row r="46" spans="1:29" ht="15">
      <c r="A46" s="20"/>
      <c r="B46" s="254" t="s">
        <v>503</v>
      </c>
      <c r="C46" s="8"/>
      <c r="D46" s="8"/>
      <c r="E46" s="9"/>
      <c r="F46" s="9"/>
      <c r="G46" s="10"/>
      <c r="H46" s="10"/>
      <c r="I46" s="11"/>
      <c r="J46" s="11"/>
      <c r="K46" s="11"/>
      <c r="L46" s="401"/>
      <c r="S46" s="1">
        <v>15614.891</v>
      </c>
      <c r="T46" s="1">
        <v>11496.923</v>
      </c>
      <c r="W46" s="1">
        <v>10923.018</v>
      </c>
      <c r="X46" s="1">
        <v>185659.84</v>
      </c>
      <c r="Y46" s="1">
        <v>172240.245</v>
      </c>
      <c r="Z46" s="1">
        <v>823.203</v>
      </c>
      <c r="AA46" s="1">
        <v>406.284</v>
      </c>
      <c r="AB46" s="1">
        <v>2811.397</v>
      </c>
      <c r="AC46" s="1">
        <v>4049.091</v>
      </c>
    </row>
    <row r="47" spans="1:29" ht="15">
      <c r="A47" s="20"/>
      <c r="B47" s="253" t="s">
        <v>401</v>
      </c>
      <c r="C47" s="8"/>
      <c r="D47" s="8"/>
      <c r="E47" s="9"/>
      <c r="F47" s="9"/>
      <c r="G47" s="10"/>
      <c r="H47" s="10"/>
      <c r="I47" s="11"/>
      <c r="J47" s="11"/>
      <c r="K47" s="11"/>
      <c r="L47" s="401"/>
      <c r="S47" s="1"/>
      <c r="T47" s="1"/>
      <c r="W47" s="1"/>
      <c r="X47" s="1"/>
      <c r="Y47" s="1"/>
      <c r="Z47" s="1"/>
      <c r="AA47" s="1"/>
      <c r="AB47" s="1"/>
      <c r="AC47" s="1"/>
    </row>
    <row r="48" spans="1:29" ht="15" customHeight="1">
      <c r="A48" s="20"/>
      <c r="B48" s="252" t="s">
        <v>42</v>
      </c>
      <c r="C48" s="8"/>
      <c r="D48" s="8"/>
      <c r="E48" s="11"/>
      <c r="F48" s="11"/>
      <c r="G48" s="402"/>
      <c r="H48" s="402"/>
      <c r="I48" s="403"/>
      <c r="J48" s="403"/>
      <c r="K48" s="403"/>
      <c r="L48" s="403"/>
      <c r="S48" s="1">
        <v>41034.481</v>
      </c>
      <c r="T48" s="1">
        <v>2612.089</v>
      </c>
      <c r="W48" s="1">
        <v>55.299</v>
      </c>
      <c r="X48" s="1">
        <v>17657.591</v>
      </c>
      <c r="Y48" s="1">
        <v>2223.662</v>
      </c>
      <c r="Z48" s="1">
        <v>83817.443</v>
      </c>
      <c r="AA48" s="1">
        <v>15863.047</v>
      </c>
      <c r="AB48" s="1">
        <v>9878.77</v>
      </c>
      <c r="AC48" s="1">
        <v>15.101</v>
      </c>
    </row>
    <row r="49" spans="19:29" ht="12.75">
      <c r="S49" s="1">
        <v>4037.445</v>
      </c>
      <c r="T49" s="1">
        <v>41.396</v>
      </c>
      <c r="W49" s="1">
        <v>61746.529</v>
      </c>
      <c r="X49" s="1">
        <v>302231.969</v>
      </c>
      <c r="Y49" s="1">
        <v>182383.109</v>
      </c>
      <c r="Z49" s="1">
        <v>2259.882</v>
      </c>
      <c r="AA49" s="1">
        <v>254.815</v>
      </c>
      <c r="AB49" s="1">
        <v>810.841</v>
      </c>
      <c r="AC49" s="1">
        <v>28173.841</v>
      </c>
    </row>
    <row r="50" spans="19:29" ht="12.75">
      <c r="S50" s="1">
        <v>370243.261</v>
      </c>
      <c r="T50" s="1">
        <v>14205.097</v>
      </c>
      <c r="W50" s="1">
        <v>2601.347</v>
      </c>
      <c r="X50" s="1">
        <v>12617.949</v>
      </c>
      <c r="Y50" s="1">
        <v>2624.355</v>
      </c>
      <c r="Z50" s="1">
        <v>79572.867</v>
      </c>
      <c r="AA50" s="1">
        <v>4039.956</v>
      </c>
      <c r="AB50" s="1">
        <v>14431.794</v>
      </c>
      <c r="AC50" s="1">
        <v>294.283</v>
      </c>
    </row>
    <row r="51" spans="19:29" ht="12.75">
      <c r="S51" s="1">
        <v>255805.242</v>
      </c>
      <c r="T51" s="1">
        <v>38104.087</v>
      </c>
      <c r="W51" s="1">
        <v>33.472</v>
      </c>
      <c r="X51" s="1">
        <v>91462.416</v>
      </c>
      <c r="Y51" s="1">
        <v>39726.358</v>
      </c>
      <c r="Z51" s="1">
        <v>22883.874</v>
      </c>
      <c r="AA51" s="1">
        <v>197.016</v>
      </c>
      <c r="AB51" s="1">
        <v>2113.956</v>
      </c>
      <c r="AC51" s="1">
        <v>52.199</v>
      </c>
    </row>
    <row r="52" spans="2:25" ht="12.75">
      <c r="B52" s="1"/>
      <c r="E52" s="1"/>
      <c r="F52" s="1"/>
      <c r="O52" s="1">
        <v>13830.869</v>
      </c>
      <c r="P52" s="1">
        <v>66362.998</v>
      </c>
      <c r="S52" s="1">
        <v>18.8</v>
      </c>
      <c r="T52" s="1">
        <v>8766.619</v>
      </c>
      <c r="U52" s="1">
        <v>5528.199</v>
      </c>
      <c r="V52" s="1">
        <v>188.58</v>
      </c>
      <c r="W52" s="1">
        <v>452.6</v>
      </c>
      <c r="X52" s="1">
        <v>8185.899</v>
      </c>
      <c r="Y52" s="1">
        <v>3.065</v>
      </c>
    </row>
    <row r="53" spans="2:25" ht="12.75">
      <c r="B53" s="1"/>
      <c r="E53" s="1"/>
      <c r="F53" s="1"/>
      <c r="O53" s="1">
        <v>37282.696</v>
      </c>
      <c r="P53" s="1">
        <v>219039.809</v>
      </c>
      <c r="S53" s="1">
        <v>8.273</v>
      </c>
      <c r="T53" s="1">
        <v>1084.5</v>
      </c>
      <c r="U53" s="1">
        <v>122.1</v>
      </c>
      <c r="V53" s="1">
        <v>24919.465</v>
      </c>
      <c r="W53" s="1">
        <v>20.097</v>
      </c>
      <c r="X53" s="1">
        <v>5836.047</v>
      </c>
      <c r="Y53" s="1">
        <v>399.593</v>
      </c>
    </row>
    <row r="54" spans="2:25" ht="12.75">
      <c r="B54" s="1"/>
      <c r="E54" s="1"/>
      <c r="F54" s="1"/>
      <c r="O54" s="1">
        <v>2377.344</v>
      </c>
      <c r="P54" s="1">
        <v>11125.011</v>
      </c>
      <c r="S54" s="1">
        <v>1816.328</v>
      </c>
      <c r="T54" s="1">
        <v>2990.16</v>
      </c>
      <c r="U54" s="1">
        <v>2275.783</v>
      </c>
      <c r="V54" s="1">
        <v>2608.084</v>
      </c>
      <c r="W54" s="1">
        <v>2416.22</v>
      </c>
      <c r="X54" s="1">
        <v>35988.078</v>
      </c>
      <c r="Y54" s="1">
        <v>17.001</v>
      </c>
    </row>
    <row r="55" spans="2:25" ht="12.75">
      <c r="B55" s="1"/>
      <c r="E55" s="1"/>
      <c r="F55" s="1"/>
      <c r="O55" s="1">
        <v>21598.491</v>
      </c>
      <c r="P55" s="1">
        <v>368964.302</v>
      </c>
      <c r="S55" s="1">
        <v>56.574</v>
      </c>
      <c r="T55" s="1">
        <v>9399.199</v>
      </c>
      <c r="U55" s="1">
        <v>1655.699</v>
      </c>
      <c r="V55" s="1">
        <v>1080.013</v>
      </c>
      <c r="W55" s="1">
        <v>1900.989</v>
      </c>
      <c r="X55" s="1">
        <v>1904.77</v>
      </c>
      <c r="Y55" s="1">
        <v>3.765</v>
      </c>
    </row>
    <row r="56" spans="2:25" ht="12.75">
      <c r="B56" s="1"/>
      <c r="E56" s="1"/>
      <c r="F56" s="1"/>
      <c r="O56" s="1">
        <v>5864.065</v>
      </c>
      <c r="P56" s="1">
        <v>927.048</v>
      </c>
      <c r="S56" s="1">
        <v>427.248</v>
      </c>
      <c r="T56" s="1">
        <v>1167.264</v>
      </c>
      <c r="U56" s="1">
        <v>394.895</v>
      </c>
      <c r="V56" s="1">
        <v>1305.169</v>
      </c>
      <c r="W56" s="1">
        <v>225.689</v>
      </c>
      <c r="X56" s="1">
        <v>5029.255</v>
      </c>
      <c r="Y56" s="1">
        <v>1033.068</v>
      </c>
    </row>
    <row r="57" spans="2:25" ht="12.75">
      <c r="B57" s="1"/>
      <c r="E57" s="1"/>
      <c r="F57" s="1"/>
      <c r="O57" s="1">
        <v>124469.329</v>
      </c>
      <c r="P57" s="1">
        <v>94367.702</v>
      </c>
      <c r="S57" s="1">
        <v>3366.831</v>
      </c>
      <c r="T57" s="1">
        <v>81601.149</v>
      </c>
      <c r="U57" s="1">
        <v>12618.617</v>
      </c>
      <c r="V57" s="1">
        <v>1593.833</v>
      </c>
      <c r="W57" s="1">
        <v>21890.966</v>
      </c>
      <c r="X57" s="1">
        <v>186877.489</v>
      </c>
      <c r="Y57" s="1">
        <v>2.11</v>
      </c>
    </row>
    <row r="58" spans="2:25" ht="12.75">
      <c r="B58" s="1"/>
      <c r="E58" s="1"/>
      <c r="F58" s="1"/>
      <c r="O58" s="1">
        <v>17333.166</v>
      </c>
      <c r="P58" s="1">
        <v>54.536</v>
      </c>
      <c r="S58" s="1">
        <v>11.964</v>
      </c>
      <c r="T58" s="1">
        <v>7149.905</v>
      </c>
      <c r="U58" s="1">
        <v>8850.215</v>
      </c>
      <c r="V58" s="1">
        <v>2674.144</v>
      </c>
      <c r="W58" s="1">
        <v>2.604</v>
      </c>
      <c r="X58" s="1">
        <v>249.049</v>
      </c>
      <c r="Y58" s="1">
        <v>92.825</v>
      </c>
    </row>
    <row r="59" spans="2:25" ht="12.75">
      <c r="B59" s="1"/>
      <c r="E59" s="1"/>
      <c r="F59" s="1"/>
      <c r="O59" s="1">
        <v>54713.565</v>
      </c>
      <c r="P59" s="1">
        <v>2115.573</v>
      </c>
      <c r="S59" s="1">
        <v>2.007</v>
      </c>
      <c r="T59" s="1">
        <v>9778.453</v>
      </c>
      <c r="U59" s="1">
        <v>3519.248</v>
      </c>
      <c r="V59" s="1">
        <v>421.826</v>
      </c>
      <c r="W59" s="1">
        <v>96.516</v>
      </c>
      <c r="X59" s="1">
        <v>4829.806</v>
      </c>
      <c r="Y59" s="1">
        <v>3150.488</v>
      </c>
    </row>
    <row r="60" spans="2:25" ht="12.75">
      <c r="B60" s="1"/>
      <c r="E60" s="1"/>
      <c r="F60" s="1"/>
      <c r="O60" s="1">
        <v>17178.352</v>
      </c>
      <c r="P60" s="1">
        <v>35946.324</v>
      </c>
      <c r="S60" s="1">
        <v>1201.551</v>
      </c>
      <c r="T60" s="1">
        <v>211242.883</v>
      </c>
      <c r="U60" s="1">
        <v>53614.134</v>
      </c>
      <c r="V60" s="1">
        <v>4248</v>
      </c>
      <c r="W60" s="1">
        <v>16</v>
      </c>
      <c r="X60" s="1">
        <v>276</v>
      </c>
      <c r="Y60" s="1">
        <v>117.591</v>
      </c>
    </row>
    <row r="61" spans="2:25" ht="12.75">
      <c r="B61" s="1"/>
      <c r="E61" s="1"/>
      <c r="F61" s="1"/>
      <c r="O61" s="1">
        <v>48396.951</v>
      </c>
      <c r="P61" s="1">
        <v>277787.317</v>
      </c>
      <c r="S61" s="1">
        <v>233.082</v>
      </c>
      <c r="T61" s="1">
        <v>346.647</v>
      </c>
      <c r="U61" s="1">
        <v>9.262</v>
      </c>
      <c r="V61" s="1">
        <v>7138.878</v>
      </c>
      <c r="W61" s="1">
        <v>13519.725</v>
      </c>
      <c r="X61" s="1">
        <v>58931.972</v>
      </c>
      <c r="Y61" s="1">
        <v>3.226</v>
      </c>
    </row>
    <row r="62" spans="2:25" ht="12.75">
      <c r="B62" s="1"/>
      <c r="E62" s="1"/>
      <c r="F62" s="1"/>
      <c r="O62" s="1">
        <v>1914.623</v>
      </c>
      <c r="P62" s="1">
        <v>170699.913</v>
      </c>
      <c r="S62" s="1">
        <v>32.883</v>
      </c>
      <c r="T62" s="1">
        <v>24657.347</v>
      </c>
      <c r="U62" s="1">
        <v>13243.874</v>
      </c>
      <c r="V62" s="1">
        <v>1681</v>
      </c>
      <c r="W62" s="1">
        <v>5942.703</v>
      </c>
      <c r="X62" s="1">
        <v>5254.981</v>
      </c>
      <c r="Y62" s="1">
        <v>954.715</v>
      </c>
    </row>
    <row r="63" spans="2:25" ht="12.75">
      <c r="B63" s="1"/>
      <c r="E63" s="1"/>
      <c r="F63" s="1"/>
      <c r="O63" s="1">
        <v>4516.364</v>
      </c>
      <c r="P63" s="1">
        <v>378202.859</v>
      </c>
      <c r="S63" s="1">
        <v>2749.042</v>
      </c>
      <c r="T63" s="1">
        <v>6196</v>
      </c>
      <c r="U63" s="1">
        <v>116</v>
      </c>
      <c r="V63" s="1">
        <v>2177164.164</v>
      </c>
      <c r="W63" s="1">
        <v>168.234</v>
      </c>
      <c r="X63" s="1">
        <v>1445.28</v>
      </c>
      <c r="Y63" s="1">
        <v>0.039</v>
      </c>
    </row>
    <row r="64" spans="2:25" ht="12.75">
      <c r="B64" s="1"/>
      <c r="E64" s="1"/>
      <c r="F64" s="1"/>
      <c r="O64" s="1">
        <v>1037.578</v>
      </c>
      <c r="P64" s="1">
        <v>181420.442</v>
      </c>
      <c r="S64" s="1">
        <v>332.94</v>
      </c>
      <c r="T64" s="1">
        <v>280802.837</v>
      </c>
      <c r="U64" s="1">
        <v>112046.273</v>
      </c>
      <c r="V64" s="1">
        <v>6480.815</v>
      </c>
      <c r="W64" s="1">
        <v>8265.159</v>
      </c>
      <c r="X64" s="1">
        <v>26705.677</v>
      </c>
      <c r="Y64" s="1">
        <v>769.207</v>
      </c>
    </row>
    <row r="65" spans="2:25" ht="12.75">
      <c r="B65" s="1"/>
      <c r="E65" s="1"/>
      <c r="F65" s="1"/>
      <c r="O65" s="1">
        <v>588.687</v>
      </c>
      <c r="P65" s="1">
        <v>1035166.416</v>
      </c>
      <c r="S65" s="1">
        <v>135.283</v>
      </c>
      <c r="T65" s="1">
        <v>111198.487</v>
      </c>
      <c r="U65" s="1">
        <v>65743.198</v>
      </c>
      <c r="V65" s="1">
        <v>3339.234</v>
      </c>
      <c r="W65" s="1">
        <v>216.552</v>
      </c>
      <c r="X65" s="1">
        <v>617.53</v>
      </c>
      <c r="Y65" s="1">
        <v>10.924</v>
      </c>
    </row>
    <row r="66" spans="2:25" ht="12.75">
      <c r="B66" s="1"/>
      <c r="E66" s="1"/>
      <c r="F66" s="1"/>
      <c r="O66" s="1">
        <v>4.14</v>
      </c>
      <c r="P66" s="1">
        <v>1500225</v>
      </c>
      <c r="S66" s="1">
        <v>158.794</v>
      </c>
      <c r="T66" s="1">
        <v>5688.457</v>
      </c>
      <c r="U66" s="1">
        <v>478.055</v>
      </c>
      <c r="V66" s="1">
        <v>18232.451</v>
      </c>
      <c r="W66" s="1">
        <v>7.603</v>
      </c>
      <c r="X66" s="1">
        <v>1706.527</v>
      </c>
      <c r="Y66" s="1">
        <v>2.611</v>
      </c>
    </row>
    <row r="67" spans="2:25" ht="12.75">
      <c r="B67" s="1"/>
      <c r="E67" s="1"/>
      <c r="F67" s="1"/>
      <c r="O67" s="1">
        <v>126.484</v>
      </c>
      <c r="P67" s="1">
        <v>87220.554</v>
      </c>
      <c r="S67" s="1">
        <v>4.566</v>
      </c>
      <c r="T67" s="1">
        <v>114650.438</v>
      </c>
      <c r="U67" s="1">
        <v>52675.975</v>
      </c>
      <c r="V67" s="1">
        <v>186.258</v>
      </c>
      <c r="W67" s="1">
        <v>798.831</v>
      </c>
      <c r="X67" s="1">
        <v>1371.438</v>
      </c>
      <c r="Y67" s="1">
        <v>38.927</v>
      </c>
    </row>
    <row r="68" spans="2:25" ht="12.75">
      <c r="B68" s="1"/>
      <c r="E68" s="1"/>
      <c r="F68" s="1"/>
      <c r="O68" s="1">
        <v>1.755</v>
      </c>
      <c r="P68" s="1">
        <v>638429.301</v>
      </c>
      <c r="S68" s="1">
        <v>521.085</v>
      </c>
      <c r="T68" s="1">
        <v>2637.327</v>
      </c>
      <c r="U68" s="1">
        <v>2064.614</v>
      </c>
      <c r="V68" s="1">
        <v>17922.271</v>
      </c>
      <c r="W68" s="1">
        <v>277.394</v>
      </c>
      <c r="X68" s="1">
        <v>1025.559</v>
      </c>
      <c r="Y68" s="1">
        <v>281.95</v>
      </c>
    </row>
    <row r="69" spans="2:25" ht="12.75">
      <c r="B69" s="1"/>
      <c r="E69" s="1"/>
      <c r="F69" s="1"/>
      <c r="O69" s="1">
        <v>491.846</v>
      </c>
      <c r="P69" s="1">
        <v>591388.121</v>
      </c>
      <c r="S69" s="1">
        <v>1366.729</v>
      </c>
      <c r="T69" s="1">
        <v>10887.846</v>
      </c>
      <c r="U69" s="1">
        <v>1354.037</v>
      </c>
      <c r="V69" s="1">
        <v>64.268</v>
      </c>
      <c r="W69" s="1">
        <v>714.634</v>
      </c>
      <c r="X69" s="1">
        <v>3874.468</v>
      </c>
      <c r="Y69" s="1">
        <v>35219</v>
      </c>
    </row>
    <row r="70" spans="2:25" ht="12.75">
      <c r="B70" s="1"/>
      <c r="E70" s="1"/>
      <c r="F70" s="1"/>
      <c r="O70" s="1">
        <v>101.744</v>
      </c>
      <c r="P70" s="1">
        <v>668569.376</v>
      </c>
      <c r="S70" s="1">
        <v>3259</v>
      </c>
      <c r="T70" s="1">
        <v>12484.436</v>
      </c>
      <c r="U70" s="1">
        <v>5845.149</v>
      </c>
      <c r="V70" s="1">
        <v>8902.41</v>
      </c>
      <c r="W70" s="1">
        <v>495.095</v>
      </c>
      <c r="X70" s="1">
        <v>25862.518</v>
      </c>
      <c r="Y70" s="1">
        <v>635.816</v>
      </c>
    </row>
    <row r="71" spans="2:25" ht="12.75">
      <c r="B71" s="1"/>
      <c r="E71" s="1"/>
      <c r="F71" s="1"/>
      <c r="O71" s="1">
        <v>789.865</v>
      </c>
      <c r="P71" s="1">
        <v>76956.804</v>
      </c>
      <c r="S71" s="1">
        <v>1570.908</v>
      </c>
      <c r="T71" s="1">
        <v>6862.975</v>
      </c>
      <c r="U71" s="1">
        <v>922.259</v>
      </c>
      <c r="V71" s="1">
        <v>109191.439</v>
      </c>
      <c r="W71" s="1">
        <v>2392</v>
      </c>
      <c r="X71" s="1">
        <v>35979</v>
      </c>
      <c r="Y71" s="1">
        <v>1396</v>
      </c>
    </row>
    <row r="72" spans="2:25" ht="12.75">
      <c r="B72" s="1"/>
      <c r="E72" s="1"/>
      <c r="F72" s="1"/>
      <c r="O72" s="1">
        <v>885.775</v>
      </c>
      <c r="P72" s="1">
        <v>316835.71</v>
      </c>
      <c r="S72" s="1">
        <v>299</v>
      </c>
      <c r="T72" s="1">
        <v>30447.164</v>
      </c>
      <c r="U72" s="1">
        <v>5470.274</v>
      </c>
      <c r="V72" s="1">
        <v>24.477</v>
      </c>
      <c r="W72" s="1">
        <v>3305.197</v>
      </c>
      <c r="X72" s="1">
        <v>18090.336</v>
      </c>
      <c r="Y72" s="1">
        <v>402101.764</v>
      </c>
    </row>
    <row r="73" spans="2:25" ht="12.75">
      <c r="B73" s="1"/>
      <c r="E73" s="1"/>
      <c r="F73" s="1"/>
      <c r="O73" s="1">
        <v>4.247</v>
      </c>
      <c r="P73" s="1">
        <v>1139210.575</v>
      </c>
      <c r="S73" s="1">
        <v>350953.121</v>
      </c>
      <c r="T73" s="1">
        <v>50288.938</v>
      </c>
      <c r="U73" s="1">
        <v>9090.832</v>
      </c>
      <c r="V73" s="1">
        <v>28627.551</v>
      </c>
      <c r="W73" s="1">
        <v>417</v>
      </c>
      <c r="X73" s="1">
        <v>17688</v>
      </c>
      <c r="Y73" s="1">
        <v>7792.968</v>
      </c>
    </row>
    <row r="74" spans="2:25" ht="12.75">
      <c r="B74" s="1"/>
      <c r="E74" s="1"/>
      <c r="F74" s="1"/>
      <c r="O74" s="1">
        <v>7367.552</v>
      </c>
      <c r="P74" s="1">
        <v>217510.305</v>
      </c>
      <c r="S74" s="1">
        <v>178.598</v>
      </c>
      <c r="T74" s="1">
        <v>121345</v>
      </c>
      <c r="U74" s="1">
        <v>76517</v>
      </c>
      <c r="V74" s="1">
        <v>112993.457</v>
      </c>
      <c r="W74" s="1">
        <v>608496.777</v>
      </c>
      <c r="X74" s="1">
        <v>1845257.267</v>
      </c>
      <c r="Y74" s="1">
        <v>1068.795</v>
      </c>
    </row>
    <row r="75" spans="2:25" ht="12.75">
      <c r="B75" s="1"/>
      <c r="E75" s="1"/>
      <c r="F75" s="1"/>
      <c r="O75" s="1">
        <v>1700.956</v>
      </c>
      <c r="P75" s="1">
        <v>134259.414</v>
      </c>
      <c r="S75" s="1">
        <v>4185.476</v>
      </c>
      <c r="T75" s="1">
        <v>78731.184</v>
      </c>
      <c r="U75" s="1">
        <v>73957.18</v>
      </c>
      <c r="V75" s="1">
        <v>224.684</v>
      </c>
      <c r="W75" s="1">
        <v>3362.398</v>
      </c>
      <c r="X75" s="1">
        <v>56441.936</v>
      </c>
      <c r="Y75" s="1">
        <v>714.63</v>
      </c>
    </row>
    <row r="76" spans="2:25" ht="12.75">
      <c r="B76" s="1"/>
      <c r="E76" s="1"/>
      <c r="F76" s="1"/>
      <c r="O76" s="1">
        <v>362.622</v>
      </c>
      <c r="P76" s="1">
        <v>12930.743</v>
      </c>
      <c r="S76" s="1">
        <v>140.31</v>
      </c>
      <c r="T76" s="1">
        <v>24323</v>
      </c>
      <c r="U76" s="1">
        <v>5026</v>
      </c>
      <c r="V76" s="1">
        <v>738.96</v>
      </c>
      <c r="W76" s="1">
        <v>1948.603</v>
      </c>
      <c r="X76" s="1">
        <v>3911.149</v>
      </c>
      <c r="Y76" s="1">
        <v>4.48</v>
      </c>
    </row>
    <row r="77" spans="2:25" ht="12.75">
      <c r="B77" s="1"/>
      <c r="E77" s="1"/>
      <c r="F77" s="1"/>
      <c r="O77" s="1">
        <v>1058.257</v>
      </c>
      <c r="P77" s="1">
        <v>210983.646</v>
      </c>
      <c r="S77" s="1">
        <v>8.951</v>
      </c>
      <c r="T77" s="1">
        <v>517578.086</v>
      </c>
      <c r="U77" s="1">
        <v>4637708.935</v>
      </c>
      <c r="V77" s="1">
        <v>6665.065</v>
      </c>
      <c r="W77" s="1">
        <v>2498.188</v>
      </c>
      <c r="X77" s="1">
        <v>2411.02</v>
      </c>
      <c r="Y77" s="1">
        <v>2689.603</v>
      </c>
    </row>
    <row r="78" spans="2:25" ht="12.75">
      <c r="B78" s="1"/>
      <c r="E78" s="1"/>
      <c r="F78" s="1"/>
      <c r="O78" s="1">
        <v>11.032</v>
      </c>
      <c r="P78" s="1">
        <v>327081.784</v>
      </c>
      <c r="S78" s="1">
        <v>937.494</v>
      </c>
      <c r="T78" s="1">
        <v>114962.144</v>
      </c>
      <c r="U78" s="1">
        <v>211888.175</v>
      </c>
      <c r="V78" s="1">
        <v>198771.586</v>
      </c>
      <c r="W78" s="1">
        <v>148.561</v>
      </c>
      <c r="X78" s="1">
        <v>693.097</v>
      </c>
      <c r="Y78" s="1">
        <v>3422.24</v>
      </c>
    </row>
    <row r="79" spans="2:25" ht="12.75">
      <c r="B79" s="1"/>
      <c r="E79" s="1"/>
      <c r="F79" s="1"/>
      <c r="O79" s="1">
        <v>56.165</v>
      </c>
      <c r="P79" s="1">
        <v>595450.595</v>
      </c>
      <c r="S79" s="1">
        <v>188.697</v>
      </c>
      <c r="T79" s="1">
        <v>136814.18</v>
      </c>
      <c r="U79" s="1">
        <v>14534.155</v>
      </c>
      <c r="V79" s="13">
        <v>905.135</v>
      </c>
      <c r="W79" s="1">
        <v>8345.863</v>
      </c>
      <c r="X79" s="1">
        <v>42323.982</v>
      </c>
      <c r="Y79" s="1">
        <v>132.634</v>
      </c>
    </row>
    <row r="80" spans="2:25" ht="12.75">
      <c r="B80" s="1"/>
      <c r="E80" s="1"/>
      <c r="F80" s="1"/>
      <c r="O80" s="1">
        <v>21.764</v>
      </c>
      <c r="P80" s="1">
        <v>422.168</v>
      </c>
      <c r="S80" s="1">
        <v>673.811</v>
      </c>
      <c r="T80" s="1">
        <v>62402.578</v>
      </c>
      <c r="U80" s="1">
        <v>769.295</v>
      </c>
      <c r="V80" s="1">
        <v>116115.912</v>
      </c>
      <c r="W80" s="1">
        <v>558.381</v>
      </c>
      <c r="X80" s="1">
        <v>4895.595</v>
      </c>
      <c r="Y80" s="1">
        <v>5967.331</v>
      </c>
    </row>
    <row r="81" spans="2:25" ht="12.75">
      <c r="B81" s="1"/>
      <c r="E81" s="1"/>
      <c r="F81" s="1"/>
      <c r="O81" s="1">
        <v>897.082</v>
      </c>
      <c r="P81" s="1">
        <v>78209.297</v>
      </c>
      <c r="S81" s="1">
        <v>17291.295</v>
      </c>
      <c r="T81" s="1">
        <v>785.164</v>
      </c>
      <c r="U81" s="1">
        <v>267.568</v>
      </c>
      <c r="V81" s="1">
        <v>3685.933</v>
      </c>
      <c r="W81" s="1">
        <v>575.921</v>
      </c>
      <c r="X81" s="1">
        <v>5237.424</v>
      </c>
      <c r="Y81" s="1">
        <v>0.196</v>
      </c>
    </row>
    <row r="82" spans="2:25" ht="12.75">
      <c r="B82" s="1"/>
      <c r="E82" s="1"/>
      <c r="F82" s="1"/>
      <c r="O82" s="1">
        <v>71.66</v>
      </c>
      <c r="P82" s="1">
        <v>15834</v>
      </c>
      <c r="S82" s="1">
        <v>1.586</v>
      </c>
      <c r="T82" s="1">
        <v>206833.237</v>
      </c>
      <c r="U82" s="1">
        <v>28994.269</v>
      </c>
      <c r="V82" s="1">
        <v>504</v>
      </c>
      <c r="W82" s="1">
        <v>6226.021</v>
      </c>
      <c r="X82" s="1">
        <v>29146.568</v>
      </c>
      <c r="Y82" s="1">
        <v>1401.049</v>
      </c>
    </row>
    <row r="83" spans="2:25" ht="12.75">
      <c r="B83" s="1"/>
      <c r="E83" s="1"/>
      <c r="F83" s="1"/>
      <c r="O83" s="1">
        <v>529.368</v>
      </c>
      <c r="P83" s="1">
        <v>28016</v>
      </c>
      <c r="S83" s="1">
        <v>1135.425</v>
      </c>
      <c r="T83" s="1">
        <v>28939.434</v>
      </c>
      <c r="U83" s="1">
        <v>15238.305</v>
      </c>
      <c r="V83" s="1">
        <v>933.424</v>
      </c>
      <c r="W83" s="1">
        <v>111.139</v>
      </c>
      <c r="X83" s="1">
        <v>203.201</v>
      </c>
      <c r="Y83" s="1">
        <v>8066.841</v>
      </c>
    </row>
    <row r="84" spans="2:25" ht="12.75">
      <c r="B84" s="1"/>
      <c r="E84" s="1"/>
      <c r="F84" s="1"/>
      <c r="O84" s="1">
        <v>3264.135</v>
      </c>
      <c r="P84" s="1">
        <v>4193</v>
      </c>
      <c r="S84" s="1">
        <v>17685.853</v>
      </c>
      <c r="T84" s="1">
        <v>14384.175</v>
      </c>
      <c r="U84" s="1">
        <v>24959.494</v>
      </c>
      <c r="W84" s="1">
        <v>4859.824</v>
      </c>
      <c r="X84" s="1">
        <v>26332.986</v>
      </c>
      <c r="Y84" s="1">
        <v>13.102</v>
      </c>
    </row>
    <row r="85" spans="2:25" ht="12.75">
      <c r="B85" s="1"/>
      <c r="E85" s="1"/>
      <c r="F85" s="1"/>
      <c r="O85" s="1">
        <v>425515.933</v>
      </c>
      <c r="P85" s="1">
        <v>709.363</v>
      </c>
      <c r="S85" s="1">
        <v>221.885</v>
      </c>
      <c r="T85" s="1">
        <v>167303.891</v>
      </c>
      <c r="U85" s="1">
        <v>153799.37</v>
      </c>
      <c r="W85" s="1">
        <v>22363.503</v>
      </c>
      <c r="X85" s="1">
        <v>39062.312</v>
      </c>
      <c r="Y85" s="1">
        <v>227.26</v>
      </c>
    </row>
    <row r="86" spans="2:25" ht="12.75">
      <c r="B86" s="1"/>
      <c r="E86" s="1"/>
      <c r="F86" s="1"/>
      <c r="O86" s="1">
        <v>252256.18</v>
      </c>
      <c r="P86" s="1">
        <v>5746.571</v>
      </c>
      <c r="S86" s="1">
        <v>933.464</v>
      </c>
      <c r="T86" s="1">
        <v>867.677</v>
      </c>
      <c r="U86" s="1">
        <v>197.136</v>
      </c>
      <c r="W86" s="1">
        <v>177.265</v>
      </c>
      <c r="X86" s="1">
        <v>1876.54</v>
      </c>
      <c r="Y86" s="1">
        <v>1081.254</v>
      </c>
    </row>
    <row r="87" spans="2:25" ht="12.75">
      <c r="B87" s="1"/>
      <c r="E87" s="1"/>
      <c r="F87" s="1"/>
      <c r="O87" s="1">
        <v>16762.694</v>
      </c>
      <c r="P87" s="1">
        <v>3474.353</v>
      </c>
      <c r="S87" s="1">
        <v>9565.993</v>
      </c>
      <c r="T87" s="1">
        <v>162222.394</v>
      </c>
      <c r="U87" s="1">
        <v>88981.845</v>
      </c>
      <c r="W87" s="1">
        <v>31.122</v>
      </c>
      <c r="X87" s="1">
        <v>6590.711</v>
      </c>
      <c r="Y87" s="1">
        <v>7370.171</v>
      </c>
    </row>
    <row r="88" spans="2:25" ht="12.75">
      <c r="B88" s="1"/>
      <c r="E88" s="1"/>
      <c r="F88" s="1"/>
      <c r="O88" s="1">
        <v>88638.93</v>
      </c>
      <c r="P88" s="1">
        <v>4357.19</v>
      </c>
      <c r="S88" s="1">
        <v>253.179</v>
      </c>
      <c r="T88" s="1">
        <v>496814.389</v>
      </c>
      <c r="U88" s="1">
        <v>349271.92</v>
      </c>
      <c r="W88" s="1">
        <v>120.468</v>
      </c>
      <c r="X88" s="1">
        <v>7913.647</v>
      </c>
      <c r="Y88" s="1">
        <v>10.241</v>
      </c>
    </row>
    <row r="89" spans="2:25" ht="12.75">
      <c r="B89" s="1"/>
      <c r="E89" s="1"/>
      <c r="F89" s="1"/>
      <c r="O89" s="1">
        <v>2751.188</v>
      </c>
      <c r="P89" s="1">
        <v>4099.6</v>
      </c>
      <c r="S89" s="1">
        <v>106886.447</v>
      </c>
      <c r="T89" s="1">
        <v>9689.269</v>
      </c>
      <c r="U89" s="1">
        <v>894.692</v>
      </c>
      <c r="W89" s="1">
        <v>30872.126</v>
      </c>
      <c r="X89" s="1">
        <v>86177.468</v>
      </c>
      <c r="Y89" s="1">
        <v>32939.632</v>
      </c>
    </row>
    <row r="90" spans="2:25" ht="12.75">
      <c r="B90" s="1"/>
      <c r="E90" s="1"/>
      <c r="F90" s="1"/>
      <c r="O90" s="1">
        <v>6902.023</v>
      </c>
      <c r="P90" s="1">
        <v>36462.695</v>
      </c>
      <c r="S90" s="1">
        <v>698.358</v>
      </c>
      <c r="T90" s="1">
        <v>16691.684</v>
      </c>
      <c r="U90" s="1">
        <v>6506.628</v>
      </c>
      <c r="W90" s="1">
        <v>350.949</v>
      </c>
      <c r="X90" s="1">
        <v>1441.52</v>
      </c>
      <c r="Y90" s="1">
        <v>418.201</v>
      </c>
    </row>
    <row r="91" spans="2:25" ht="12.75">
      <c r="B91" s="1"/>
      <c r="E91" s="1"/>
      <c r="F91" s="1"/>
      <c r="O91" s="1">
        <v>1567.029</v>
      </c>
      <c r="P91" s="1">
        <v>13808.701</v>
      </c>
      <c r="S91" s="1">
        <v>202</v>
      </c>
      <c r="T91" s="1">
        <v>36123.19</v>
      </c>
      <c r="U91" s="1">
        <v>15475.113</v>
      </c>
      <c r="W91" s="1">
        <v>134990.837</v>
      </c>
      <c r="X91" s="1">
        <v>141907.521</v>
      </c>
      <c r="Y91" s="1">
        <v>19</v>
      </c>
    </row>
    <row r="92" spans="2:25" ht="12.75">
      <c r="B92" s="1"/>
      <c r="E92" s="1"/>
      <c r="F92" s="1"/>
      <c r="O92" s="1">
        <v>135809.656</v>
      </c>
      <c r="P92" s="1">
        <v>19611.787</v>
      </c>
      <c r="S92" s="1">
        <v>2.033</v>
      </c>
      <c r="T92" s="1">
        <v>1004667.401</v>
      </c>
      <c r="U92" s="1">
        <v>173143.742</v>
      </c>
      <c r="W92" s="1">
        <v>427.99</v>
      </c>
      <c r="X92" s="1">
        <v>1577.022</v>
      </c>
      <c r="Y92" s="1">
        <v>49.575</v>
      </c>
    </row>
    <row r="93" spans="2:24" ht="12.75">
      <c r="B93" s="1"/>
      <c r="E93" s="1"/>
      <c r="F93" s="1"/>
      <c r="O93" s="1">
        <v>30721.073</v>
      </c>
      <c r="P93" s="1">
        <v>2617</v>
      </c>
      <c r="T93" s="1">
        <v>398.467</v>
      </c>
      <c r="U93" s="1">
        <v>10.573</v>
      </c>
      <c r="W93" s="1">
        <v>95</v>
      </c>
      <c r="X93" s="1">
        <v>678</v>
      </c>
    </row>
    <row r="94" spans="2:25" ht="12.75">
      <c r="B94" s="1"/>
      <c r="E94" s="1"/>
      <c r="F94" s="1"/>
      <c r="O94" s="1">
        <v>29902.514</v>
      </c>
      <c r="P94" s="1">
        <v>401439.178</v>
      </c>
      <c r="S94" s="14">
        <f>SUM(W1:W93)</f>
        <v>1065218.085</v>
      </c>
      <c r="T94" s="1">
        <v>1521024.583</v>
      </c>
      <c r="U94" s="1">
        <v>235990.429</v>
      </c>
      <c r="V94" s="14">
        <f>SUM(Z1:Z83)</f>
        <v>1242203.3710000003</v>
      </c>
      <c r="W94" s="1">
        <v>361.449</v>
      </c>
      <c r="X94" s="1">
        <v>1411.145</v>
      </c>
      <c r="Y94" s="14">
        <f>SUM(AC1:AC93)</f>
        <v>289805.601</v>
      </c>
    </row>
    <row r="95" spans="2:21" ht="12.75">
      <c r="B95" s="1"/>
      <c r="E95" s="1"/>
      <c r="F95" s="1"/>
      <c r="O95" s="1">
        <v>81812.587</v>
      </c>
      <c r="P95" s="1">
        <v>113146.741</v>
      </c>
      <c r="T95" s="1">
        <v>33769.759</v>
      </c>
      <c r="U95" s="1">
        <v>12205.259</v>
      </c>
    </row>
    <row r="96" spans="2:24" ht="12.75">
      <c r="B96" s="1"/>
      <c r="E96" s="1"/>
      <c r="F96" s="1"/>
      <c r="O96" s="1">
        <v>95869.184</v>
      </c>
      <c r="P96" s="15">
        <v>225100</v>
      </c>
      <c r="T96" s="1">
        <v>1819</v>
      </c>
      <c r="U96" s="1">
        <v>3221</v>
      </c>
      <c r="W96" s="14">
        <f>SUM(AA1:AA95)</f>
        <v>327961.3270000001</v>
      </c>
      <c r="X96" s="14">
        <f>SUM(AB1:AB95)</f>
        <v>945027.701</v>
      </c>
    </row>
    <row r="97" spans="2:21" ht="12.75">
      <c r="B97" s="1"/>
      <c r="E97" s="1"/>
      <c r="F97" s="1"/>
      <c r="O97" s="1">
        <v>0.407</v>
      </c>
      <c r="P97" s="1">
        <v>55786.035</v>
      </c>
      <c r="T97" s="1">
        <v>10784.653</v>
      </c>
      <c r="U97" s="1">
        <v>3846.45</v>
      </c>
    </row>
    <row r="98" spans="2:15" ht="12.75">
      <c r="B98" s="1"/>
      <c r="E98" s="1"/>
      <c r="F98" s="1"/>
      <c r="O98" s="1">
        <v>2155.796</v>
      </c>
    </row>
    <row r="99" spans="2:21" ht="12.75">
      <c r="B99" s="1"/>
      <c r="E99" s="1"/>
      <c r="F99" s="1"/>
      <c r="O99" s="1">
        <v>124.6</v>
      </c>
      <c r="T99" s="14">
        <f>SUM(X1:X98)</f>
        <v>9078066.046999997</v>
      </c>
      <c r="U99" s="14">
        <f>SUM(Y1:Y98)</f>
        <v>3621715.092000001</v>
      </c>
    </row>
    <row r="100" spans="2:15" ht="12.75">
      <c r="B100" s="1"/>
      <c r="E100" s="1"/>
      <c r="F100" s="1"/>
      <c r="O100" s="1">
        <v>120.382</v>
      </c>
    </row>
    <row r="101" spans="2:15" ht="12.75">
      <c r="B101" s="1"/>
      <c r="E101" s="1"/>
      <c r="F101" s="1"/>
      <c r="O101" s="1">
        <v>308.464</v>
      </c>
    </row>
    <row r="102" spans="2:15" ht="12.75">
      <c r="B102" s="1"/>
      <c r="E102" s="1"/>
      <c r="F102" s="1"/>
      <c r="O102" s="1">
        <v>0.849</v>
      </c>
    </row>
    <row r="103" spans="2:15" ht="12.75">
      <c r="B103" s="1"/>
      <c r="E103" s="1"/>
      <c r="F103" s="1"/>
      <c r="O103" s="1">
        <v>30.885</v>
      </c>
    </row>
    <row r="104" spans="2:15" ht="12.75">
      <c r="B104" s="1"/>
      <c r="E104" s="1"/>
      <c r="F104" s="1"/>
      <c r="O104" s="1">
        <v>0.889</v>
      </c>
    </row>
    <row r="105" spans="2:15" ht="12.75">
      <c r="B105" s="1"/>
      <c r="E105" s="1"/>
      <c r="F105" s="1"/>
      <c r="O105" s="1">
        <v>545.551</v>
      </c>
    </row>
    <row r="106" spans="2:15" ht="12.75">
      <c r="B106" s="1"/>
      <c r="E106" s="1"/>
      <c r="F106" s="1"/>
      <c r="O106" s="1">
        <v>18.218</v>
      </c>
    </row>
    <row r="107" spans="2:15" ht="12.75">
      <c r="B107" s="1"/>
      <c r="E107" s="1"/>
      <c r="F107" s="1"/>
      <c r="O107" s="1">
        <v>21.776</v>
      </c>
    </row>
    <row r="108" spans="2:15" ht="12.75">
      <c r="B108" s="1"/>
      <c r="E108" s="1"/>
      <c r="F108" s="1"/>
      <c r="O108" s="1">
        <v>37.975</v>
      </c>
    </row>
    <row r="109" spans="2:15" ht="12.75">
      <c r="B109" s="1"/>
      <c r="E109" s="1"/>
      <c r="F109" s="1"/>
      <c r="O109" s="1">
        <v>19922.158</v>
      </c>
    </row>
    <row r="110" spans="2:15" ht="12.75">
      <c r="B110" s="1"/>
      <c r="E110" s="1"/>
      <c r="F110" s="1"/>
      <c r="O110" s="1">
        <v>1182.707</v>
      </c>
    </row>
    <row r="111" spans="2:15" ht="12.75">
      <c r="B111" s="1"/>
      <c r="E111" s="1"/>
      <c r="F111" s="1"/>
      <c r="O111" s="1">
        <v>43.675</v>
      </c>
    </row>
    <row r="112" spans="2:15" ht="12.75">
      <c r="B112" s="1"/>
      <c r="E112" s="1"/>
      <c r="F112" s="1"/>
      <c r="O112" s="1">
        <v>387.996</v>
      </c>
    </row>
    <row r="113" spans="2:15" ht="12.75">
      <c r="B113" s="1"/>
      <c r="E113" s="1"/>
      <c r="F113" s="1"/>
      <c r="O113" s="1">
        <v>0.052</v>
      </c>
    </row>
    <row r="114" spans="2:15" ht="12.75">
      <c r="B114" s="1"/>
      <c r="E114" s="1"/>
      <c r="F114" s="1"/>
      <c r="O114" s="1">
        <v>61.798</v>
      </c>
    </row>
    <row r="115" spans="2:15" ht="12.75">
      <c r="B115" s="1"/>
      <c r="E115" s="1"/>
      <c r="F115" s="1"/>
      <c r="O115" s="1">
        <v>595.909</v>
      </c>
    </row>
    <row r="116" spans="2:15" ht="12.75">
      <c r="B116" s="1"/>
      <c r="E116" s="1"/>
      <c r="F116" s="1"/>
      <c r="O116" s="1">
        <v>39.352</v>
      </c>
    </row>
    <row r="117" spans="2:15" ht="12.75">
      <c r="B117" s="1"/>
      <c r="E117" s="1"/>
      <c r="F117" s="1"/>
      <c r="O117" s="1">
        <v>199.973</v>
      </c>
    </row>
    <row r="118" spans="2:15" ht="12.75">
      <c r="B118" s="1"/>
      <c r="E118" s="1"/>
      <c r="F118" s="1"/>
      <c r="O118" s="1">
        <v>12.866</v>
      </c>
    </row>
    <row r="119" spans="2:15" ht="12.75">
      <c r="B119" s="1"/>
      <c r="E119" s="1"/>
      <c r="F119" s="1"/>
      <c r="O119" s="1">
        <v>0.955</v>
      </c>
    </row>
    <row r="120" spans="2:15" ht="12.75">
      <c r="B120" s="1"/>
      <c r="E120" s="1"/>
      <c r="F120" s="1"/>
      <c r="O120" s="1">
        <v>8685.494</v>
      </c>
    </row>
    <row r="121" spans="2:15" ht="12.75">
      <c r="B121" s="1"/>
      <c r="E121" s="1"/>
      <c r="F121" s="1"/>
      <c r="O121" s="1">
        <v>3124.185</v>
      </c>
    </row>
    <row r="122" spans="2:15" ht="12.75">
      <c r="B122" s="1"/>
      <c r="E122" s="1"/>
      <c r="F122" s="1"/>
      <c r="O122" s="1">
        <v>28.278</v>
      </c>
    </row>
    <row r="123" spans="2:15" ht="12.75">
      <c r="B123" s="1"/>
      <c r="E123" s="1"/>
      <c r="F123" s="1"/>
      <c r="O123" s="1">
        <v>1368.819</v>
      </c>
    </row>
    <row r="124" spans="2:15" ht="12.75">
      <c r="B124" s="1"/>
      <c r="E124" s="1"/>
      <c r="F124" s="1"/>
      <c r="O124" s="1">
        <v>31.545</v>
      </c>
    </row>
    <row r="125" spans="2:15" ht="12.75">
      <c r="B125" s="1"/>
      <c r="E125" s="1"/>
      <c r="F125" s="1"/>
      <c r="O125" s="1">
        <v>174.453</v>
      </c>
    </row>
    <row r="126" spans="2:15" ht="12.75">
      <c r="B126" s="1"/>
      <c r="E126" s="1"/>
      <c r="F126" s="1"/>
      <c r="O126" s="1">
        <v>0.104</v>
      </c>
    </row>
    <row r="127" spans="2:15" ht="12.75">
      <c r="B127" s="1"/>
      <c r="E127" s="1"/>
      <c r="F127" s="1"/>
      <c r="O127" s="1">
        <v>102.839</v>
      </c>
    </row>
    <row r="128" spans="2:15" ht="12.75">
      <c r="B128" s="1"/>
      <c r="E128" s="1"/>
      <c r="F128" s="1"/>
      <c r="O128" s="1">
        <v>2.535</v>
      </c>
    </row>
    <row r="129" spans="2:15" ht="12.75">
      <c r="B129" s="1"/>
      <c r="E129" s="1"/>
      <c r="F129" s="1"/>
      <c r="O129" s="1">
        <v>165.884</v>
      </c>
    </row>
    <row r="130" spans="2:15" ht="12.75">
      <c r="B130" s="1"/>
      <c r="E130" s="1"/>
      <c r="F130" s="1"/>
      <c r="O130" s="1">
        <v>52.923</v>
      </c>
    </row>
    <row r="131" spans="2:15" ht="12.75">
      <c r="B131" s="1"/>
      <c r="E131" s="1"/>
      <c r="F131" s="1"/>
      <c r="O131" s="1">
        <v>9647.07</v>
      </c>
    </row>
    <row r="132" spans="2:15" ht="12.75">
      <c r="B132" s="1"/>
      <c r="E132" s="1"/>
      <c r="F132" s="1"/>
      <c r="O132" s="1">
        <v>972886.3</v>
      </c>
    </row>
    <row r="133" spans="2:15" ht="12.75">
      <c r="B133" s="1"/>
      <c r="E133" s="1"/>
      <c r="F133" s="1"/>
      <c r="O133" s="1">
        <v>645356.15</v>
      </c>
    </row>
    <row r="134" spans="2:15" ht="12.75">
      <c r="B134" s="1"/>
      <c r="E134" s="1"/>
      <c r="F134" s="1"/>
      <c r="O134" s="1">
        <v>96762.579</v>
      </c>
    </row>
    <row r="135" spans="2:15" ht="12.75">
      <c r="B135" s="1"/>
      <c r="E135" s="1"/>
      <c r="F135" s="1"/>
      <c r="O135" s="1">
        <v>60287.326</v>
      </c>
    </row>
    <row r="136" spans="2:15" ht="12.75">
      <c r="B136" s="1"/>
      <c r="E136" s="1"/>
      <c r="F136" s="1"/>
      <c r="O136" s="1">
        <v>3006.934</v>
      </c>
    </row>
    <row r="137" spans="2:15" ht="12.75">
      <c r="B137" s="1"/>
      <c r="E137" s="1"/>
      <c r="F137" s="1"/>
      <c r="O137" s="1">
        <v>22244.672</v>
      </c>
    </row>
    <row r="138" spans="2:15" ht="12.75">
      <c r="B138" s="1"/>
      <c r="E138" s="1"/>
      <c r="F138" s="1"/>
      <c r="O138" s="1">
        <v>9365.887</v>
      </c>
    </row>
    <row r="139" spans="2:15" ht="12.75">
      <c r="B139" s="1"/>
      <c r="E139" s="1"/>
      <c r="F139" s="1"/>
      <c r="O139" s="1">
        <v>129410.719</v>
      </c>
    </row>
    <row r="140" spans="5:15" ht="12.75">
      <c r="E140" s="1"/>
      <c r="F140" s="1"/>
      <c r="O140" s="1">
        <v>73114.24</v>
      </c>
    </row>
    <row r="141" ht="12.75">
      <c r="O141" s="1">
        <v>51630.032</v>
      </c>
    </row>
    <row r="142" ht="12.75">
      <c r="O142" s="1">
        <v>151358.876</v>
      </c>
    </row>
    <row r="143" ht="12.75">
      <c r="O143" s="1">
        <v>1412.276</v>
      </c>
    </row>
    <row r="144" ht="12.75">
      <c r="O144" s="1">
        <v>342.514</v>
      </c>
    </row>
    <row r="145" ht="12.75">
      <c r="O145" s="1">
        <v>165.471</v>
      </c>
    </row>
    <row r="146" ht="12.75">
      <c r="Q146" s="1">
        <v>37.696</v>
      </c>
    </row>
    <row r="147" ht="12.75">
      <c r="Q147" s="1">
        <v>36.413</v>
      </c>
    </row>
    <row r="148" ht="12.75">
      <c r="Q148" s="1">
        <v>0.292</v>
      </c>
    </row>
    <row r="149" ht="12.75">
      <c r="Q149" s="1">
        <v>489.879</v>
      </c>
    </row>
    <row r="150" ht="12.75">
      <c r="Q150" s="1">
        <v>1.153</v>
      </c>
    </row>
    <row r="151" ht="12.75">
      <c r="Q151" s="1">
        <v>523.988</v>
      </c>
    </row>
    <row r="152" ht="12.75">
      <c r="Q152" s="1">
        <v>50952.94</v>
      </c>
    </row>
    <row r="153" ht="12.75">
      <c r="Q153" s="1">
        <v>9632.046</v>
      </c>
    </row>
    <row r="154" ht="12.75">
      <c r="Q154" s="1">
        <v>644.83</v>
      </c>
    </row>
    <row r="155" ht="12.75">
      <c r="Q155" s="1">
        <v>4545.475</v>
      </c>
    </row>
    <row r="156" ht="12.75">
      <c r="Q156" s="1">
        <v>239.899</v>
      </c>
    </row>
    <row r="157" ht="12.75">
      <c r="Q157" s="1">
        <v>528.51</v>
      </c>
    </row>
    <row r="158" ht="12.75">
      <c r="Q158" s="1">
        <v>56.798</v>
      </c>
    </row>
    <row r="159" ht="12.75">
      <c r="Q159" s="1">
        <v>7740.182</v>
      </c>
    </row>
    <row r="160" ht="12.75">
      <c r="Q160" s="1">
        <v>1367.648</v>
      </c>
    </row>
    <row r="161" ht="12.75">
      <c r="Q161" s="1">
        <v>1241.152</v>
      </c>
    </row>
    <row r="162" ht="12.75">
      <c r="Q162" s="1">
        <v>11883.029</v>
      </c>
    </row>
    <row r="163" ht="12.75">
      <c r="Q163" s="1">
        <v>1431.86</v>
      </c>
    </row>
    <row r="164" ht="12.75">
      <c r="Q164" s="1">
        <v>46639.751</v>
      </c>
    </row>
    <row r="165" ht="12.75">
      <c r="Q165" s="1">
        <v>16300.039</v>
      </c>
    </row>
    <row r="166" ht="12.75">
      <c r="Q166" s="1">
        <v>1694.284</v>
      </c>
    </row>
    <row r="167" ht="12.75">
      <c r="Q167" s="1">
        <v>195538.784</v>
      </c>
    </row>
    <row r="168" ht="12.75">
      <c r="Q168" s="1">
        <v>165412.946</v>
      </c>
    </row>
    <row r="169" ht="12.75">
      <c r="Q169" s="1">
        <v>2322.639</v>
      </c>
    </row>
    <row r="170" ht="12.75">
      <c r="Q170" s="1">
        <v>6.156</v>
      </c>
    </row>
    <row r="171" ht="12.75">
      <c r="Q171" s="1">
        <v>26565.759</v>
      </c>
    </row>
    <row r="172" ht="12.75">
      <c r="Q172" s="1">
        <v>2054.272</v>
      </c>
    </row>
    <row r="173" ht="12.75">
      <c r="Q173" s="1">
        <v>25251.901</v>
      </c>
    </row>
    <row r="174" ht="12.75">
      <c r="Q174" s="1">
        <v>69634.065</v>
      </c>
    </row>
    <row r="175" ht="12.75">
      <c r="Q175" s="1">
        <v>2619.884</v>
      </c>
    </row>
    <row r="176" ht="12.75">
      <c r="Q176" s="1">
        <v>242307.816</v>
      </c>
    </row>
    <row r="177" ht="12.75">
      <c r="Q177" s="1">
        <v>29607.291</v>
      </c>
    </row>
    <row r="178" ht="12.75">
      <c r="Q178" s="1">
        <v>27676.802</v>
      </c>
    </row>
    <row r="179" ht="12.75">
      <c r="Q179" s="1">
        <v>70937.282</v>
      </c>
    </row>
    <row r="180" ht="12.75">
      <c r="Q180" s="1">
        <v>2240.147</v>
      </c>
    </row>
    <row r="181" ht="12.75">
      <c r="Q181" s="1">
        <v>13827.088</v>
      </c>
    </row>
    <row r="182" ht="12.75">
      <c r="Q182" s="1">
        <v>3045.002</v>
      </c>
    </row>
    <row r="183" ht="12.75">
      <c r="Q183" s="1">
        <v>37585.119</v>
      </c>
    </row>
    <row r="184" ht="12.75">
      <c r="Q184" s="1">
        <v>28812.65</v>
      </c>
    </row>
    <row r="185" ht="12.75">
      <c r="Q185" s="1">
        <v>21467.828</v>
      </c>
    </row>
    <row r="186" ht="12.75">
      <c r="Q186" s="1">
        <v>200455.219</v>
      </c>
    </row>
    <row r="187" ht="12.75">
      <c r="Q187" s="1">
        <v>2926</v>
      </c>
    </row>
    <row r="188" ht="12.75">
      <c r="Q188" s="1">
        <v>104266</v>
      </c>
    </row>
    <row r="189" ht="12.75">
      <c r="Q189" s="1">
        <v>27912</v>
      </c>
    </row>
    <row r="190" ht="12.75">
      <c r="Q190" s="1">
        <v>1432</v>
      </c>
    </row>
    <row r="191" ht="12.75">
      <c r="Q191" s="1">
        <v>7733</v>
      </c>
    </row>
    <row r="192" ht="12.75">
      <c r="Q192" s="1">
        <v>5225</v>
      </c>
    </row>
    <row r="193" ht="12.75">
      <c r="Q193" s="1">
        <v>843</v>
      </c>
    </row>
    <row r="194" ht="12.75">
      <c r="Q194" s="1">
        <v>437</v>
      </c>
    </row>
    <row r="195" ht="12.75">
      <c r="Q195" s="1">
        <v>21067</v>
      </c>
    </row>
    <row r="196" ht="12.75">
      <c r="Q196" s="1">
        <v>4790</v>
      </c>
    </row>
    <row r="197" ht="12.75">
      <c r="Q197" s="1">
        <v>39825</v>
      </c>
    </row>
    <row r="198" ht="12.75">
      <c r="Q198" s="1">
        <v>35779</v>
      </c>
    </row>
    <row r="199" ht="12.75">
      <c r="Q199" s="1">
        <v>514.666</v>
      </c>
    </row>
    <row r="200" ht="12.75">
      <c r="Q200" s="1">
        <v>60618.156</v>
      </c>
    </row>
    <row r="201" ht="12.75">
      <c r="Q201" s="1">
        <v>10941.449</v>
      </c>
    </row>
    <row r="202" ht="12.75">
      <c r="Q202" s="1">
        <v>326.519</v>
      </c>
    </row>
    <row r="203" ht="12.75">
      <c r="Q203" s="1">
        <v>3256.584</v>
      </c>
    </row>
    <row r="204" ht="12.75">
      <c r="Q204" s="1">
        <v>45.1</v>
      </c>
    </row>
    <row r="205" ht="12.75">
      <c r="Q205" s="1">
        <v>248.85</v>
      </c>
    </row>
    <row r="206" ht="12.75">
      <c r="Q206" s="1">
        <v>175.992</v>
      </c>
    </row>
    <row r="207" ht="12.75">
      <c r="Q207" s="1">
        <v>3033.905</v>
      </c>
    </row>
    <row r="208" ht="12.75">
      <c r="Q208" s="1">
        <v>1018.625</v>
      </c>
    </row>
    <row r="209" ht="12.75">
      <c r="Q209" s="1">
        <v>2425.542</v>
      </c>
    </row>
    <row r="210" ht="12.75">
      <c r="Q210" s="1">
        <v>4185.748</v>
      </c>
    </row>
    <row r="211" ht="12.75">
      <c r="Q211" s="1">
        <v>14912.399</v>
      </c>
    </row>
    <row r="212" ht="12.75">
      <c r="Q212" s="1">
        <v>206.029</v>
      </c>
    </row>
    <row r="213" ht="12.75">
      <c r="Q213" s="1">
        <v>17337.55</v>
      </c>
    </row>
    <row r="214" ht="12.75">
      <c r="Q214" s="1">
        <v>3562.251</v>
      </c>
    </row>
    <row r="215" ht="12.75">
      <c r="Q215" s="1">
        <v>559.798</v>
      </c>
    </row>
    <row r="216" ht="12.75">
      <c r="Q216" s="1">
        <v>2340.123</v>
      </c>
    </row>
    <row r="217" ht="12.75">
      <c r="Q217" s="1">
        <v>145.326</v>
      </c>
    </row>
    <row r="218" ht="12.75">
      <c r="Q218" s="1">
        <v>129.936</v>
      </c>
    </row>
    <row r="219" ht="12.75">
      <c r="Q219" s="1">
        <v>45.152</v>
      </c>
    </row>
    <row r="220" ht="12.75">
      <c r="Q220" s="1">
        <v>1876.238</v>
      </c>
    </row>
    <row r="221" ht="12.75">
      <c r="Q221" s="1">
        <v>315.074</v>
      </c>
    </row>
    <row r="222" ht="12.75">
      <c r="Q222" s="1">
        <v>1004.51</v>
      </c>
    </row>
    <row r="223" ht="12.75">
      <c r="Q223" s="1">
        <v>277.681</v>
      </c>
    </row>
    <row r="224" ht="12.75">
      <c r="Q224" s="1">
        <v>3163.099</v>
      </c>
    </row>
    <row r="225" ht="12.75">
      <c r="Q225" s="1">
        <v>138.519</v>
      </c>
    </row>
    <row r="226" ht="12.75">
      <c r="Q226" s="1">
        <v>13435.423</v>
      </c>
    </row>
    <row r="227" ht="12.75">
      <c r="Q227" s="1">
        <v>7865.222</v>
      </c>
    </row>
    <row r="228" ht="12.75">
      <c r="Q228" s="1">
        <v>107.288</v>
      </c>
    </row>
    <row r="229" ht="12.75">
      <c r="Q229" s="1">
        <v>1726.211</v>
      </c>
    </row>
    <row r="230" ht="12.75">
      <c r="Q230" s="1">
        <v>10.336</v>
      </c>
    </row>
    <row r="231" ht="12.75">
      <c r="Q231" s="1">
        <v>214.657</v>
      </c>
    </row>
    <row r="232" ht="12.75">
      <c r="Q232" s="1">
        <v>3.694</v>
      </c>
    </row>
    <row r="233" ht="12.75">
      <c r="Q233" s="1">
        <v>461.249</v>
      </c>
    </row>
    <row r="234" ht="12.75">
      <c r="Q234" s="1">
        <v>354.091</v>
      </c>
    </row>
    <row r="235" ht="12.75">
      <c r="Q235" s="1">
        <v>4142.292</v>
      </c>
    </row>
    <row r="236" ht="12.75">
      <c r="Q236" s="1">
        <v>15.941</v>
      </c>
    </row>
    <row r="237" ht="12.75">
      <c r="Q237" s="1">
        <v>64.287</v>
      </c>
    </row>
    <row r="238" ht="12.75">
      <c r="Q238" s="1">
        <v>374.927</v>
      </c>
    </row>
    <row r="239" ht="12.75">
      <c r="Q239" s="1">
        <v>9038.718</v>
      </c>
    </row>
    <row r="240" ht="12.75">
      <c r="Q240" s="1">
        <v>2942.871</v>
      </c>
    </row>
    <row r="241" ht="12.75">
      <c r="Q241" s="1">
        <v>300.931</v>
      </c>
    </row>
    <row r="242" ht="12.75">
      <c r="Q242" s="1">
        <v>4089.863</v>
      </c>
    </row>
    <row r="243" ht="12.75">
      <c r="Q243" s="1">
        <v>978.785</v>
      </c>
    </row>
    <row r="244" ht="12.75">
      <c r="Q244" s="1">
        <v>524.127</v>
      </c>
    </row>
    <row r="245" ht="12.75">
      <c r="Q245" s="1">
        <v>0.49</v>
      </c>
    </row>
    <row r="246" ht="12.75">
      <c r="Q246" s="1">
        <v>1815.157</v>
      </c>
    </row>
    <row r="247" ht="12.75">
      <c r="Q247" s="1">
        <v>462.974</v>
      </c>
    </row>
    <row r="248" ht="12.75">
      <c r="Q248" s="1">
        <v>1945.008</v>
      </c>
    </row>
    <row r="249" ht="12.75">
      <c r="Q249" s="1">
        <v>722.726</v>
      </c>
    </row>
    <row r="250" ht="12.75">
      <c r="Q250" s="1">
        <v>1544.018</v>
      </c>
    </row>
    <row r="251" ht="12.75">
      <c r="Q251" s="1">
        <v>1428.752</v>
      </c>
    </row>
    <row r="252" ht="12.75">
      <c r="Q252" s="1">
        <v>21930.663</v>
      </c>
    </row>
    <row r="253" ht="12.75">
      <c r="Q253" s="1">
        <v>10726.342</v>
      </c>
    </row>
    <row r="254" ht="12.75">
      <c r="Q254" s="1">
        <v>1418.218</v>
      </c>
    </row>
    <row r="255" ht="12.75">
      <c r="Q255" s="1">
        <v>2033.029</v>
      </c>
    </row>
    <row r="256" ht="12.75">
      <c r="Q256" s="1">
        <v>22.176</v>
      </c>
    </row>
    <row r="257" ht="12.75">
      <c r="Q257" s="1">
        <v>281.699</v>
      </c>
    </row>
    <row r="258" ht="12.75">
      <c r="Q258" s="1">
        <v>243.415</v>
      </c>
    </row>
    <row r="259" ht="12.75">
      <c r="Q259" s="1">
        <v>2476.904</v>
      </c>
    </row>
    <row r="260" ht="12.75">
      <c r="Q260" s="1">
        <v>365.414</v>
      </c>
    </row>
    <row r="261" ht="12.75">
      <c r="Q261" s="1">
        <v>1606.132</v>
      </c>
    </row>
    <row r="262" ht="12.75">
      <c r="Q262" s="1">
        <v>1373.69</v>
      </c>
    </row>
    <row r="263" ht="12.75">
      <c r="S263" s="1">
        <v>4168.852</v>
      </c>
    </row>
    <row r="264" ht="12.75">
      <c r="S264" s="1">
        <v>1492.075</v>
      </c>
    </row>
    <row r="265" ht="12.75">
      <c r="S265" s="1">
        <v>69317.088</v>
      </c>
    </row>
    <row r="266" ht="12.75">
      <c r="S266" s="1">
        <v>29479.094</v>
      </c>
    </row>
    <row r="267" ht="12.75">
      <c r="S267" s="1">
        <v>5825.784</v>
      </c>
    </row>
    <row r="268" ht="12.75">
      <c r="S268" s="1">
        <v>21690.135</v>
      </c>
    </row>
    <row r="269" ht="12.75">
      <c r="S269" s="1">
        <v>2470.052</v>
      </c>
    </row>
    <row r="270" ht="12.75">
      <c r="S270" s="1">
        <v>2380.187</v>
      </c>
    </row>
    <row r="271" ht="12.75">
      <c r="S271" s="1">
        <v>153.312</v>
      </c>
    </row>
    <row r="272" ht="12.75">
      <c r="S272" s="1">
        <v>64174.373</v>
      </c>
    </row>
    <row r="273" ht="12.75">
      <c r="S273" s="1">
        <v>3076.889</v>
      </c>
    </row>
    <row r="274" ht="12.75">
      <c r="S274" s="1">
        <v>7220.183</v>
      </c>
    </row>
    <row r="275" ht="12.75">
      <c r="S275" s="1">
        <v>1168.833</v>
      </c>
    </row>
    <row r="276" ht="12.75">
      <c r="S276" s="1">
        <v>13496.765</v>
      </c>
    </row>
    <row r="277" ht="12.75">
      <c r="S277" s="1">
        <v>465.012</v>
      </c>
    </row>
    <row r="278" ht="12.75">
      <c r="S278" s="1">
        <v>107504.86</v>
      </c>
    </row>
    <row r="279" ht="12.75">
      <c r="S279" s="1">
        <v>29708.479</v>
      </c>
    </row>
    <row r="280" ht="12.75">
      <c r="S280" s="1">
        <v>5244.331</v>
      </c>
    </row>
    <row r="281" ht="12.75">
      <c r="S281" s="1">
        <v>14770.471</v>
      </c>
    </row>
    <row r="282" ht="12.75">
      <c r="S282" s="1">
        <v>259.939</v>
      </c>
    </row>
    <row r="283" ht="12.75">
      <c r="S283" s="1">
        <v>2010.053</v>
      </c>
    </row>
    <row r="284" ht="12.75">
      <c r="S284" s="1">
        <v>150.146</v>
      </c>
    </row>
    <row r="285" ht="12.75">
      <c r="S285" s="1">
        <v>111193.468</v>
      </c>
    </row>
    <row r="286" ht="12.75">
      <c r="S286" s="1">
        <v>9599.341</v>
      </c>
    </row>
    <row r="287" ht="12.75">
      <c r="S287" s="1">
        <v>14482.329</v>
      </c>
    </row>
    <row r="288" ht="12.75">
      <c r="S288" s="1">
        <v>2640.71</v>
      </c>
    </row>
    <row r="289" ht="12.75">
      <c r="S289" s="1">
        <v>26522.051</v>
      </c>
    </row>
    <row r="290" ht="12.75">
      <c r="S290" s="1">
        <v>7.072</v>
      </c>
    </row>
    <row r="291" ht="12.75">
      <c r="S291" s="1">
        <v>1372.398</v>
      </c>
    </row>
    <row r="292" ht="12.75">
      <c r="S292" s="1">
        <v>104.683</v>
      </c>
    </row>
    <row r="293" ht="12.75">
      <c r="S293" s="1">
        <v>88.239</v>
      </c>
    </row>
    <row r="294" ht="12.75">
      <c r="S294" s="1">
        <v>439.454</v>
      </c>
    </row>
    <row r="295" ht="12.75">
      <c r="S295" s="1">
        <v>8.968</v>
      </c>
    </row>
    <row r="296" ht="12.75">
      <c r="S296" s="1">
        <v>51.589</v>
      </c>
    </row>
    <row r="297" ht="12.75">
      <c r="S297" s="1">
        <v>120.329</v>
      </c>
    </row>
    <row r="298" ht="12.75">
      <c r="S298" s="1">
        <v>0.53</v>
      </c>
    </row>
    <row r="299" ht="12.75">
      <c r="S299" s="1">
        <v>31.684</v>
      </c>
    </row>
    <row r="300" ht="12.75">
      <c r="S300" s="1">
        <v>31091.13</v>
      </c>
    </row>
    <row r="301" ht="12.75">
      <c r="S301" s="1">
        <v>3466.739</v>
      </c>
    </row>
    <row r="302" ht="12.75">
      <c r="S302" s="1">
        <v>613.467</v>
      </c>
    </row>
    <row r="303" ht="12.75">
      <c r="S303" s="1">
        <v>1148.378</v>
      </c>
    </row>
    <row r="304" ht="12.75">
      <c r="S304" s="1">
        <v>3.727</v>
      </c>
    </row>
    <row r="305" ht="12.75">
      <c r="S305" s="1">
        <v>157.158</v>
      </c>
    </row>
    <row r="306" ht="12.75">
      <c r="S306" s="1">
        <v>2.342</v>
      </c>
    </row>
    <row r="307" ht="12.75">
      <c r="S307" s="1">
        <v>1300.177</v>
      </c>
    </row>
    <row r="308" ht="12.75">
      <c r="S308" s="1">
        <v>137.46</v>
      </c>
    </row>
    <row r="309" ht="12.75">
      <c r="S309" s="1">
        <v>692.767</v>
      </c>
    </row>
    <row r="310" ht="12.75">
      <c r="S310" s="1">
        <v>401.087</v>
      </c>
    </row>
    <row r="311" ht="12.75">
      <c r="S311" s="1">
        <v>1313.285</v>
      </c>
    </row>
    <row r="312" ht="12.75">
      <c r="S312" s="1">
        <v>17.787</v>
      </c>
    </row>
    <row r="313" ht="12.75">
      <c r="S313" s="1">
        <v>11852.309</v>
      </c>
    </row>
    <row r="314" ht="12.75">
      <c r="S314" s="1">
        <v>3609.837</v>
      </c>
    </row>
    <row r="315" ht="12.75">
      <c r="S315" s="1">
        <v>298.304</v>
      </c>
    </row>
    <row r="316" ht="12.75">
      <c r="S316" s="1">
        <v>1073.409</v>
      </c>
    </row>
    <row r="317" ht="12.75">
      <c r="S317" s="1">
        <v>2702.334</v>
      </c>
    </row>
    <row r="318" ht="12.75">
      <c r="S318" s="1">
        <v>93.132</v>
      </c>
    </row>
    <row r="319" ht="12.75">
      <c r="S319" s="1">
        <v>1025.615</v>
      </c>
    </row>
    <row r="320" ht="12.75">
      <c r="S320" s="1">
        <v>22.225</v>
      </c>
    </row>
    <row r="321" ht="12.75">
      <c r="S321" s="1">
        <v>244.259</v>
      </c>
    </row>
    <row r="322" ht="12.75">
      <c r="S322" s="1">
        <v>2728.789</v>
      </c>
    </row>
    <row r="323" ht="12.75">
      <c r="S323" s="1">
        <v>1060.855</v>
      </c>
    </row>
    <row r="324" ht="12.75">
      <c r="S324" s="1">
        <v>20.281</v>
      </c>
    </row>
    <row r="325" ht="12.75">
      <c r="S325" s="1">
        <v>14988.223</v>
      </c>
    </row>
    <row r="326" ht="12.75">
      <c r="S326" s="1">
        <v>821.26</v>
      </c>
    </row>
    <row r="327" ht="12.75">
      <c r="S327" s="1">
        <v>410.187</v>
      </c>
    </row>
    <row r="328" ht="12.75">
      <c r="S328" s="1">
        <v>1024.257</v>
      </c>
    </row>
    <row r="329" ht="12.75">
      <c r="S329" s="1">
        <v>0.75</v>
      </c>
    </row>
    <row r="330" ht="12.75">
      <c r="S330" s="1">
        <v>112.085</v>
      </c>
    </row>
    <row r="331" ht="12.75">
      <c r="S331" s="1">
        <v>0.623</v>
      </c>
    </row>
    <row r="332" ht="12.75">
      <c r="S332" s="1">
        <v>1964.209</v>
      </c>
    </row>
    <row r="333" ht="12.75">
      <c r="S333" s="1">
        <v>107.003</v>
      </c>
    </row>
    <row r="334" ht="12.75">
      <c r="S334" s="1">
        <v>207.927</v>
      </c>
    </row>
    <row r="335" ht="12.75">
      <c r="S335" s="1">
        <v>266.958</v>
      </c>
    </row>
    <row r="336" ht="12.75">
      <c r="S336" s="1">
        <v>1659.649</v>
      </c>
    </row>
    <row r="337" ht="12.75">
      <c r="S337" s="1">
        <v>92.169</v>
      </c>
    </row>
    <row r="338" ht="12.75">
      <c r="S338" s="1">
        <v>4854.988</v>
      </c>
    </row>
    <row r="339" ht="12.75">
      <c r="S339" s="1">
        <v>3061.49</v>
      </c>
    </row>
    <row r="340" ht="12.75">
      <c r="S340" s="1">
        <v>494.933</v>
      </c>
    </row>
    <row r="341" ht="12.75">
      <c r="S341" s="1">
        <v>3324.101</v>
      </c>
    </row>
    <row r="342" ht="12.75">
      <c r="S342" s="1">
        <v>49.602</v>
      </c>
    </row>
    <row r="343" ht="12.75">
      <c r="S343" s="1">
        <v>581.718</v>
      </c>
    </row>
    <row r="344" ht="12.75">
      <c r="S344" s="1">
        <v>14.259</v>
      </c>
    </row>
    <row r="345" ht="12.75">
      <c r="S345" s="1">
        <v>3752.183</v>
      </c>
    </row>
    <row r="346" ht="12.75">
      <c r="S346" s="1">
        <v>926.875</v>
      </c>
    </row>
    <row r="347" ht="12.75">
      <c r="S347" s="1">
        <v>831.819</v>
      </c>
    </row>
    <row r="348" ht="12.75">
      <c r="S348" s="1">
        <v>72.393</v>
      </c>
    </row>
    <row r="349" ht="12.75">
      <c r="S349" s="1">
        <v>1361.662</v>
      </c>
    </row>
    <row r="350" ht="12.75">
      <c r="S350" s="1">
        <v>1389.537</v>
      </c>
    </row>
    <row r="351" ht="12.75">
      <c r="S351" s="1">
        <v>51644.342</v>
      </c>
    </row>
    <row r="352" ht="12.75">
      <c r="S352" s="1">
        <v>30437.385</v>
      </c>
    </row>
    <row r="353" ht="12.75">
      <c r="S353" s="1">
        <v>4435.216</v>
      </c>
    </row>
    <row r="354" ht="12.75">
      <c r="S354" s="1">
        <v>7563.771</v>
      </c>
    </row>
    <row r="355" ht="12.75">
      <c r="S355" s="1">
        <v>230.316</v>
      </c>
    </row>
    <row r="356" ht="12.75">
      <c r="S356" s="1">
        <v>3417.846</v>
      </c>
    </row>
    <row r="357" ht="12.75">
      <c r="S357" s="1">
        <v>694.458</v>
      </c>
    </row>
    <row r="358" ht="12.75">
      <c r="S358" s="1">
        <v>19855.034</v>
      </c>
    </row>
    <row r="359" ht="12.75">
      <c r="S359" s="1">
        <v>3858.901</v>
      </c>
    </row>
    <row r="360" ht="12.75">
      <c r="S360" s="1">
        <v>14017.966</v>
      </c>
    </row>
    <row r="361" ht="12.75">
      <c r="S361" s="1">
        <v>3009.985</v>
      </c>
    </row>
    <row r="362" ht="12.75">
      <c r="S362" s="1">
        <v>9615.957</v>
      </c>
    </row>
    <row r="363" ht="12.75">
      <c r="S363" s="1">
        <v>40316.806</v>
      </c>
    </row>
    <row r="364" ht="12.75">
      <c r="S364" s="1">
        <v>666650.583</v>
      </c>
    </row>
    <row r="365" ht="12.75">
      <c r="S365" s="1">
        <v>392426.089</v>
      </c>
    </row>
    <row r="366" ht="12.75">
      <c r="S366" s="1">
        <v>36847.889</v>
      </c>
    </row>
    <row r="367" ht="12.75">
      <c r="S367" s="1">
        <v>155087.013</v>
      </c>
    </row>
    <row r="368" ht="12.75">
      <c r="S368" s="1">
        <v>9283.414</v>
      </c>
    </row>
    <row r="369" ht="12.75">
      <c r="S369" s="1">
        <v>8502.336</v>
      </c>
    </row>
    <row r="370" ht="12.75">
      <c r="S370" s="1">
        <v>11474.381</v>
      </c>
    </row>
    <row r="371" ht="12.75">
      <c r="S371" s="1">
        <v>509469.944</v>
      </c>
    </row>
    <row r="372" ht="12.75">
      <c r="S372" s="1">
        <v>62919.988</v>
      </c>
    </row>
    <row r="373" ht="12.75">
      <c r="S373" s="1">
        <v>89367.966</v>
      </c>
    </row>
    <row r="374" ht="12.75">
      <c r="S374" s="1">
        <v>135127.69</v>
      </c>
    </row>
    <row r="375" ht="12.75">
      <c r="S375" s="1">
        <v>175445.279</v>
      </c>
    </row>
    <row r="376" ht="12.75">
      <c r="S376" s="1">
        <v>0.6</v>
      </c>
    </row>
    <row r="377" ht="12.75">
      <c r="S377" s="1">
        <v>6045.027</v>
      </c>
    </row>
    <row r="378" ht="12.75">
      <c r="S378" s="1">
        <v>3438.689</v>
      </c>
    </row>
    <row r="379" ht="12.75">
      <c r="S379" s="1">
        <v>36.767</v>
      </c>
    </row>
    <row r="380" ht="12.75">
      <c r="S380" s="1">
        <v>740.276</v>
      </c>
    </row>
    <row r="381" ht="12.75">
      <c r="S381" s="1">
        <v>8.144</v>
      </c>
    </row>
    <row r="382" ht="12.75">
      <c r="S382" s="1">
        <v>119.033</v>
      </c>
    </row>
    <row r="383" ht="12.75">
      <c r="S383" s="1">
        <v>0.236</v>
      </c>
    </row>
    <row r="384" ht="12.75">
      <c r="S384" s="1">
        <v>196.49</v>
      </c>
    </row>
    <row r="385" ht="12.75">
      <c r="S385" s="1">
        <v>44.058</v>
      </c>
    </row>
    <row r="386" ht="12.75">
      <c r="S386" s="1">
        <v>728.387</v>
      </c>
    </row>
    <row r="387" ht="12.75">
      <c r="S387" s="1">
        <v>15.454</v>
      </c>
    </row>
    <row r="388" ht="12.75">
      <c r="S388" s="1">
        <v>145.862</v>
      </c>
    </row>
    <row r="389" ht="12.75">
      <c r="S389" s="1">
        <v>3692</v>
      </c>
    </row>
    <row r="390" ht="12.75">
      <c r="S390" s="1">
        <v>618866</v>
      </c>
    </row>
    <row r="391" ht="12.75">
      <c r="S391" s="1">
        <v>320789</v>
      </c>
    </row>
    <row r="392" ht="12.75">
      <c r="S392" s="1">
        <v>40180</v>
      </c>
    </row>
    <row r="393" ht="12.75">
      <c r="S393" s="1">
        <v>85104</v>
      </c>
    </row>
    <row r="394" ht="12.75">
      <c r="S394" s="1">
        <v>14433</v>
      </c>
    </row>
    <row r="395" ht="12.75">
      <c r="S395" s="1">
        <v>22897</v>
      </c>
    </row>
    <row r="396" ht="12.75">
      <c r="S396" s="1">
        <v>6617</v>
      </c>
    </row>
    <row r="397" ht="12.75">
      <c r="S397" s="1">
        <v>282996</v>
      </c>
    </row>
    <row r="398" ht="12.75">
      <c r="S398" s="1">
        <v>53114</v>
      </c>
    </row>
    <row r="399" ht="12.75">
      <c r="S399" s="1">
        <v>44491</v>
      </c>
    </row>
    <row r="400" ht="12.75">
      <c r="S400" s="1">
        <v>191998</v>
      </c>
    </row>
    <row r="401" ht="12.75">
      <c r="S401" s="1">
        <v>200387</v>
      </c>
    </row>
    <row r="402" ht="12.75">
      <c r="S402" s="1">
        <v>1416.145</v>
      </c>
    </row>
    <row r="403" ht="12.75">
      <c r="S403" s="1">
        <v>56100.341</v>
      </c>
    </row>
    <row r="404" ht="12.75">
      <c r="S404" s="1">
        <v>38500.515</v>
      </c>
    </row>
    <row r="405" ht="12.75">
      <c r="S405" s="1">
        <v>2898.098</v>
      </c>
    </row>
    <row r="406" ht="12.75">
      <c r="S406" s="1">
        <v>7536.397</v>
      </c>
    </row>
    <row r="407" ht="12.75">
      <c r="S407" s="1">
        <v>568.841</v>
      </c>
    </row>
    <row r="408" ht="12.75">
      <c r="S408" s="1">
        <v>1554.969</v>
      </c>
    </row>
    <row r="409" ht="12.75">
      <c r="S409" s="1">
        <v>805.094</v>
      </c>
    </row>
    <row r="410" ht="12.75">
      <c r="S410" s="1">
        <v>7772.543</v>
      </c>
    </row>
    <row r="411" ht="12.75">
      <c r="S411" s="1">
        <v>1246.037</v>
      </c>
    </row>
    <row r="412" ht="12.75">
      <c r="S412" s="1">
        <v>7561.193</v>
      </c>
    </row>
    <row r="413" ht="12.75">
      <c r="S413" s="1">
        <v>11475.801</v>
      </c>
    </row>
    <row r="414" ht="12.75">
      <c r="S414" s="1">
        <v>12206.918</v>
      </c>
    </row>
    <row r="415" ht="12.75">
      <c r="S415" s="1">
        <v>1706.487</v>
      </c>
    </row>
    <row r="416" ht="12.75">
      <c r="S416" s="1">
        <v>17.606</v>
      </c>
    </row>
    <row r="417" ht="12.75">
      <c r="S417" s="1">
        <v>33.881</v>
      </c>
    </row>
    <row r="418" ht="12.75">
      <c r="S418" s="1">
        <v>477.216</v>
      </c>
    </row>
    <row r="419" ht="12.75">
      <c r="S419" s="1">
        <v>3.946</v>
      </c>
    </row>
    <row r="420" ht="12.75">
      <c r="S420" s="1">
        <v>121.092</v>
      </c>
    </row>
    <row r="421" ht="12.75">
      <c r="S421" s="1">
        <v>0.881</v>
      </c>
    </row>
    <row r="422" ht="12.75">
      <c r="S422" s="1">
        <v>259.674</v>
      </c>
    </row>
    <row r="423" ht="12.75">
      <c r="S423" s="1">
        <v>67.998</v>
      </c>
    </row>
    <row r="424" ht="12.75">
      <c r="S424" s="1">
        <v>714.071</v>
      </c>
    </row>
    <row r="425" ht="12.75">
      <c r="S425" s="1">
        <v>22.104</v>
      </c>
    </row>
    <row r="426" ht="12.75">
      <c r="S426" s="1">
        <v>961.852</v>
      </c>
    </row>
    <row r="427" ht="12.75">
      <c r="S427" s="1">
        <v>40.617</v>
      </c>
    </row>
    <row r="428" ht="12.75">
      <c r="S428" s="1">
        <v>13584.048</v>
      </c>
    </row>
    <row r="429" ht="12.75">
      <c r="S429" s="1">
        <v>1841.983</v>
      </c>
    </row>
    <row r="430" ht="12.75">
      <c r="S430" s="1">
        <v>306.375</v>
      </c>
    </row>
    <row r="431" ht="12.75">
      <c r="S431" s="1">
        <v>1837.752</v>
      </c>
    </row>
    <row r="432" ht="12.75">
      <c r="S432" s="1">
        <v>8.731</v>
      </c>
    </row>
    <row r="433" ht="12.75">
      <c r="S433" s="1">
        <v>178.408</v>
      </c>
    </row>
    <row r="434" ht="12.75">
      <c r="S434" s="1">
        <v>9.804</v>
      </c>
    </row>
    <row r="435" ht="12.75">
      <c r="S435" s="1">
        <v>2027.918</v>
      </c>
    </row>
    <row r="436" ht="12.75">
      <c r="S436" s="1">
        <v>156.667</v>
      </c>
    </row>
    <row r="437" ht="12.75">
      <c r="S437" s="1">
        <v>823.962</v>
      </c>
    </row>
    <row r="438" ht="12.75">
      <c r="S438" s="1">
        <v>155.929</v>
      </c>
    </row>
    <row r="439" ht="12.75">
      <c r="S439" s="1">
        <v>1479.948</v>
      </c>
    </row>
    <row r="440" ht="12.75">
      <c r="S440" s="1">
        <v>9.427</v>
      </c>
    </row>
    <row r="441" ht="12.75">
      <c r="S441" s="1">
        <v>4273.751</v>
      </c>
    </row>
    <row r="442" ht="12.75">
      <c r="S442" s="1">
        <v>998.27</v>
      </c>
    </row>
    <row r="443" ht="12.75">
      <c r="S443" s="1">
        <v>277.579</v>
      </c>
    </row>
    <row r="444" ht="12.75">
      <c r="S444" s="1">
        <v>2672.936</v>
      </c>
    </row>
    <row r="445" ht="12.75">
      <c r="S445" s="1">
        <v>1.468</v>
      </c>
    </row>
    <row r="446" ht="12.75">
      <c r="S446" s="1">
        <v>46.798</v>
      </c>
    </row>
    <row r="447" ht="12.75">
      <c r="S447" s="1">
        <v>0.024</v>
      </c>
    </row>
    <row r="448" ht="12.75">
      <c r="S448" s="1">
        <v>882.166</v>
      </c>
    </row>
    <row r="449" ht="12.75">
      <c r="S449" s="1">
        <v>135.139</v>
      </c>
    </row>
    <row r="450" ht="12.75">
      <c r="S450" s="1">
        <v>111.246</v>
      </c>
    </row>
    <row r="451" ht="12.75">
      <c r="S451" s="1">
        <v>47.014</v>
      </c>
    </row>
    <row r="452" ht="12.75">
      <c r="S452" s="1">
        <v>353.084</v>
      </c>
    </row>
    <row r="453" ht="12.75">
      <c r="S453" s="1">
        <v>1014</v>
      </c>
    </row>
    <row r="454" ht="12.75">
      <c r="S454" s="1">
        <v>25105</v>
      </c>
    </row>
    <row r="455" ht="12.75">
      <c r="S455" s="1">
        <v>8679</v>
      </c>
    </row>
    <row r="456" ht="12.75">
      <c r="S456" s="1">
        <v>403</v>
      </c>
    </row>
    <row r="457" ht="12.75">
      <c r="S457" s="1">
        <v>17656</v>
      </c>
    </row>
    <row r="458" ht="12.75">
      <c r="S458" s="1">
        <v>1312</v>
      </c>
    </row>
    <row r="459" ht="12.75">
      <c r="S459" s="1">
        <v>2040</v>
      </c>
    </row>
    <row r="460" ht="12.75">
      <c r="S460" s="1">
        <v>79</v>
      </c>
    </row>
    <row r="461" ht="12.75">
      <c r="S461" s="1">
        <v>17491</v>
      </c>
    </row>
    <row r="462" ht="12.75">
      <c r="S462" s="1">
        <v>1914</v>
      </c>
    </row>
    <row r="463" ht="12.75">
      <c r="S463" s="1">
        <v>12046</v>
      </c>
    </row>
    <row r="464" ht="12.75">
      <c r="S464" s="1">
        <v>381</v>
      </c>
    </row>
    <row r="465" ht="12.75">
      <c r="S465" s="1">
        <v>8204</v>
      </c>
    </row>
    <row r="466" ht="12.75">
      <c r="S466" s="1">
        <v>350.492</v>
      </c>
    </row>
    <row r="467" ht="12.75">
      <c r="S467" s="1">
        <v>6770.475</v>
      </c>
    </row>
    <row r="468" ht="12.75">
      <c r="S468" s="1">
        <v>3152.933</v>
      </c>
    </row>
    <row r="469" ht="12.75">
      <c r="S469" s="1">
        <v>540.902</v>
      </c>
    </row>
    <row r="470" ht="12.75">
      <c r="S470" s="1">
        <v>591.015</v>
      </c>
    </row>
    <row r="471" ht="12.75">
      <c r="S471" s="1">
        <v>28.556</v>
      </c>
    </row>
    <row r="472" ht="12.75">
      <c r="S472" s="1">
        <v>213.846</v>
      </c>
    </row>
    <row r="473" ht="12.75">
      <c r="S473" s="1">
        <v>147.032</v>
      </c>
    </row>
    <row r="474" ht="12.75">
      <c r="S474" s="1">
        <v>2125.78</v>
      </c>
    </row>
    <row r="475" ht="12.75">
      <c r="S475" s="1">
        <v>330.337</v>
      </c>
    </row>
    <row r="476" ht="12.75">
      <c r="S476" s="1">
        <v>640.214</v>
      </c>
    </row>
    <row r="477" ht="12.75">
      <c r="S477" s="1">
        <v>251.689</v>
      </c>
    </row>
    <row r="478" ht="12.75">
      <c r="S478" s="1">
        <v>923.909</v>
      </c>
    </row>
    <row r="479" ht="12.75">
      <c r="S479" s="1">
        <v>1755.922</v>
      </c>
    </row>
    <row r="480" ht="12.75">
      <c r="S480" s="1">
        <v>36139.989</v>
      </c>
    </row>
    <row r="481" ht="12.75">
      <c r="S481" s="1">
        <v>3897.591</v>
      </c>
    </row>
    <row r="482" ht="12.75">
      <c r="S482" s="1">
        <v>126.525</v>
      </c>
    </row>
    <row r="483" ht="12.75">
      <c r="S483" s="1">
        <v>4404.034</v>
      </c>
    </row>
    <row r="484" ht="12.75">
      <c r="S484" s="1">
        <v>40590.792</v>
      </c>
    </row>
    <row r="485" ht="12.75">
      <c r="S485" s="1">
        <v>189.95</v>
      </c>
    </row>
    <row r="486" ht="12.75">
      <c r="S486" s="1">
        <v>22.416</v>
      </c>
    </row>
    <row r="487" ht="12.75">
      <c r="S487" s="1">
        <v>1027.314</v>
      </c>
    </row>
    <row r="488" ht="12.75">
      <c r="S488" s="1">
        <v>118.417</v>
      </c>
    </row>
    <row r="489" ht="12.75">
      <c r="S489" s="1">
        <v>2317.881</v>
      </c>
    </row>
    <row r="490" ht="12.75">
      <c r="S490" s="1">
        <v>2621.673</v>
      </c>
    </row>
    <row r="491" ht="12.75">
      <c r="S491" s="1">
        <v>53026.181</v>
      </c>
    </row>
    <row r="492" ht="12.75">
      <c r="S492" s="1">
        <v>4092.691</v>
      </c>
    </row>
    <row r="493" ht="12.75">
      <c r="S493" s="1">
        <v>21167.787</v>
      </c>
    </row>
    <row r="494" ht="12.75">
      <c r="S494" s="1">
        <v>13482.647</v>
      </c>
    </row>
    <row r="495" ht="12.75">
      <c r="S495" s="1">
        <v>116.985</v>
      </c>
    </row>
    <row r="496" ht="12.75">
      <c r="S496" s="1">
        <v>11196.992</v>
      </c>
    </row>
    <row r="497" ht="12.75">
      <c r="S497" s="1">
        <v>344.969</v>
      </c>
    </row>
    <row r="498" ht="12.75">
      <c r="S498" s="1">
        <v>443.062</v>
      </c>
    </row>
    <row r="499" ht="12.75">
      <c r="S499" s="1">
        <v>52.425</v>
      </c>
    </row>
    <row r="500" ht="12.75">
      <c r="S500" s="1">
        <v>2222.654</v>
      </c>
    </row>
    <row r="501" ht="12.75">
      <c r="S501" s="1">
        <v>247.042</v>
      </c>
    </row>
    <row r="502" ht="12.75">
      <c r="S502" s="1">
        <v>4513.483</v>
      </c>
    </row>
    <row r="503" ht="12.75">
      <c r="S503" s="1">
        <v>139.384</v>
      </c>
    </row>
    <row r="504" ht="12.75">
      <c r="S504" s="1">
        <v>3049.758</v>
      </c>
    </row>
    <row r="505" ht="12.75">
      <c r="S505" s="1">
        <v>107.064</v>
      </c>
    </row>
    <row r="506" ht="12.75">
      <c r="S506" s="1">
        <v>123062.005</v>
      </c>
    </row>
    <row r="507" ht="12.75">
      <c r="S507" s="1">
        <v>69606.385</v>
      </c>
    </row>
    <row r="508" ht="12.75">
      <c r="S508" s="1">
        <v>13637.914</v>
      </c>
    </row>
    <row r="509" ht="12.75">
      <c r="S509" s="1">
        <v>28930.394</v>
      </c>
    </row>
    <row r="510" ht="12.75">
      <c r="S510" s="1">
        <v>1038.615</v>
      </c>
    </row>
    <row r="511" ht="12.75">
      <c r="S511" s="1">
        <v>1338.444</v>
      </c>
    </row>
    <row r="512" ht="12.75">
      <c r="S512" s="1">
        <v>776.837</v>
      </c>
    </row>
    <row r="513" ht="12.75">
      <c r="S513" s="1">
        <v>5610.71</v>
      </c>
    </row>
    <row r="514" ht="12.75">
      <c r="S514" s="1">
        <v>7433.495</v>
      </c>
    </row>
    <row r="515" ht="12.75">
      <c r="S515" s="1">
        <v>20616.977</v>
      </c>
    </row>
    <row r="516" ht="12.75">
      <c r="S516" s="1">
        <v>10290.218</v>
      </c>
    </row>
    <row r="517" ht="12.75">
      <c r="S517" s="1">
        <v>15496.263</v>
      </c>
    </row>
    <row r="518" ht="12.75">
      <c r="S518" s="1">
        <v>4285</v>
      </c>
    </row>
    <row r="519" ht="12.75">
      <c r="S519" s="1">
        <v>36349</v>
      </c>
    </row>
    <row r="520" ht="12.75">
      <c r="S520" s="1">
        <v>9209</v>
      </c>
    </row>
    <row r="521" ht="12.75">
      <c r="S521" s="1">
        <v>1210</v>
      </c>
    </row>
    <row r="522" ht="12.75">
      <c r="S522" s="1">
        <v>5237</v>
      </c>
    </row>
    <row r="523" ht="12.75">
      <c r="S523" s="1">
        <v>204</v>
      </c>
    </row>
    <row r="524" ht="12.75">
      <c r="S524" s="1">
        <v>471</v>
      </c>
    </row>
    <row r="525" ht="12.75">
      <c r="S525" s="1">
        <v>267</v>
      </c>
    </row>
    <row r="526" ht="12.75">
      <c r="S526" s="1">
        <v>8359</v>
      </c>
    </row>
    <row r="527" ht="12.75">
      <c r="S527" s="1">
        <v>1857</v>
      </c>
    </row>
    <row r="528" ht="12.75">
      <c r="S528" s="1">
        <v>9766</v>
      </c>
    </row>
    <row r="529" ht="12.75">
      <c r="S529" s="1">
        <v>2490</v>
      </c>
    </row>
    <row r="530" ht="12.75">
      <c r="S530" s="1">
        <v>23695</v>
      </c>
    </row>
    <row r="531" ht="12.75">
      <c r="S531" s="1">
        <v>2587.628</v>
      </c>
    </row>
    <row r="532" ht="12.75">
      <c r="S532" s="1">
        <v>185659.84</v>
      </c>
    </row>
    <row r="533" ht="12.75">
      <c r="S533" s="1">
        <v>172240.245</v>
      </c>
    </row>
    <row r="534" ht="12.75">
      <c r="S534" s="1">
        <v>5537.892</v>
      </c>
    </row>
    <row r="535" ht="12.75">
      <c r="S535" s="1">
        <v>35095.356</v>
      </c>
    </row>
    <row r="536" ht="12.75">
      <c r="S536" s="1">
        <v>6651.749</v>
      </c>
    </row>
    <row r="537" ht="12.75">
      <c r="S537" s="1">
        <v>4881.979</v>
      </c>
    </row>
    <row r="538" ht="12.75">
      <c r="S538" s="1">
        <v>81981.652</v>
      </c>
    </row>
    <row r="539" ht="12.75">
      <c r="S539" s="1">
        <v>12097.885</v>
      </c>
    </row>
    <row r="540" ht="12.75">
      <c r="S540" s="1">
        <v>41739.317</v>
      </c>
    </row>
    <row r="541" ht="12.75">
      <c r="S541" s="1">
        <v>83664.785</v>
      </c>
    </row>
    <row r="542" ht="12.75">
      <c r="S542" s="1">
        <v>82757.575</v>
      </c>
    </row>
    <row r="543" ht="12.75">
      <c r="S543" s="1">
        <v>41.865</v>
      </c>
    </row>
    <row r="544" ht="12.75">
      <c r="S544" s="1">
        <v>17657.591</v>
      </c>
    </row>
    <row r="545" ht="12.75">
      <c r="S545" s="1">
        <v>2223.662</v>
      </c>
    </row>
    <row r="546" ht="12.75">
      <c r="S546" s="1">
        <v>406.284</v>
      </c>
    </row>
    <row r="547" ht="12.75">
      <c r="S547" s="1">
        <v>2811.397</v>
      </c>
    </row>
    <row r="548" ht="12.75">
      <c r="S548" s="1">
        <v>17.404</v>
      </c>
    </row>
    <row r="549" ht="12.75">
      <c r="S549" s="1">
        <v>52.206</v>
      </c>
    </row>
    <row r="550" ht="12.75">
      <c r="S550" s="1">
        <v>18.934</v>
      </c>
    </row>
    <row r="551" ht="12.75">
      <c r="S551" s="1">
        <v>3020.473</v>
      </c>
    </row>
    <row r="552" ht="12.75">
      <c r="S552" s="1">
        <v>48.389</v>
      </c>
    </row>
    <row r="553" ht="12.75">
      <c r="S553" s="1">
        <v>362.991</v>
      </c>
    </row>
    <row r="554" ht="12.75">
      <c r="S554" s="1">
        <v>10923.018</v>
      </c>
    </row>
    <row r="555" ht="12.75">
      <c r="S555" s="1">
        <v>302231.969</v>
      </c>
    </row>
    <row r="556" ht="12.75">
      <c r="S556" s="1">
        <v>182383.109</v>
      </c>
    </row>
    <row r="557" ht="12.75">
      <c r="S557" s="1">
        <v>15863.047</v>
      </c>
    </row>
    <row r="558" ht="12.75">
      <c r="S558" s="1">
        <v>9878.77</v>
      </c>
    </row>
    <row r="559" ht="12.75">
      <c r="S559" s="1">
        <v>4049.091</v>
      </c>
    </row>
    <row r="560" ht="12.75">
      <c r="S560" s="1">
        <v>19835.745</v>
      </c>
    </row>
    <row r="561" ht="12.75">
      <c r="S561" s="1">
        <v>8619.35</v>
      </c>
    </row>
    <row r="562" ht="12.75">
      <c r="S562" s="1">
        <v>58953.276</v>
      </c>
    </row>
    <row r="563" ht="12.75">
      <c r="S563" s="1">
        <v>59852.954</v>
      </c>
    </row>
    <row r="564" ht="12.75">
      <c r="S564" s="1">
        <v>285810.164</v>
      </c>
    </row>
    <row r="565" ht="12.75">
      <c r="S565" s="1">
        <v>140755.441</v>
      </c>
    </row>
    <row r="566" ht="12.75">
      <c r="S566" s="1">
        <v>90684.692</v>
      </c>
    </row>
    <row r="567" ht="12.75">
      <c r="S567" s="1">
        <v>55.299</v>
      </c>
    </row>
    <row r="568" ht="12.75">
      <c r="S568" s="1">
        <v>12617.949</v>
      </c>
    </row>
    <row r="569" ht="12.75">
      <c r="S569" s="1">
        <v>2624.355</v>
      </c>
    </row>
    <row r="570" ht="12.75">
      <c r="S570" s="1">
        <v>254.815</v>
      </c>
    </row>
    <row r="571" ht="12.75">
      <c r="S571" s="1">
        <v>810.841</v>
      </c>
    </row>
    <row r="572" ht="12.75">
      <c r="S572" s="1">
        <v>15.101</v>
      </c>
    </row>
    <row r="573" ht="12.75">
      <c r="S573" s="1">
        <v>58.312</v>
      </c>
    </row>
    <row r="574" ht="12.75">
      <c r="S574" s="1">
        <v>15.498</v>
      </c>
    </row>
    <row r="575" ht="12.75">
      <c r="S575" s="1">
        <v>366.145</v>
      </c>
    </row>
    <row r="576" ht="12.75">
      <c r="S576" s="1">
        <v>31.722</v>
      </c>
    </row>
    <row r="577" ht="12.75">
      <c r="S577" s="1">
        <v>3738.024</v>
      </c>
    </row>
    <row r="578" ht="12.75">
      <c r="S578" s="1">
        <v>8.088</v>
      </c>
    </row>
    <row r="579" ht="12.75">
      <c r="S579" s="1">
        <v>306.051</v>
      </c>
    </row>
    <row r="580" ht="12.75">
      <c r="S580" s="1">
        <v>61746.529</v>
      </c>
    </row>
    <row r="581" ht="12.75">
      <c r="S581" s="1">
        <v>91462.416</v>
      </c>
    </row>
    <row r="582" ht="12.75">
      <c r="S582" s="1">
        <v>39726.358</v>
      </c>
    </row>
    <row r="583" ht="12.75">
      <c r="S583" s="1">
        <v>4039.956</v>
      </c>
    </row>
    <row r="584" ht="12.75">
      <c r="S584" s="1">
        <v>14431.794</v>
      </c>
    </row>
    <row r="585" ht="12.75">
      <c r="S585" s="1">
        <v>28173.841</v>
      </c>
    </row>
    <row r="586" ht="12.75">
      <c r="S586" s="1">
        <v>1708.782</v>
      </c>
    </row>
    <row r="587" ht="12.75">
      <c r="S587" s="1">
        <v>273.587</v>
      </c>
    </row>
    <row r="588" ht="12.75">
      <c r="S588" s="1">
        <v>15161.231</v>
      </c>
    </row>
    <row r="589" ht="12.75">
      <c r="S589" s="1">
        <v>3729.035</v>
      </c>
    </row>
    <row r="590" ht="12.75">
      <c r="S590" s="1">
        <v>11144.606</v>
      </c>
    </row>
    <row r="591" ht="12.75">
      <c r="S591" s="1">
        <v>499.113</v>
      </c>
    </row>
    <row r="592" ht="12.75">
      <c r="S592" s="1">
        <v>130057.802</v>
      </c>
    </row>
    <row r="593" ht="12.75">
      <c r="S593" s="1">
        <v>2601.347</v>
      </c>
    </row>
    <row r="594" ht="12.75">
      <c r="S594" s="1">
        <v>8766.619</v>
      </c>
    </row>
    <row r="595" ht="12.75">
      <c r="S595" s="1">
        <v>5528.199</v>
      </c>
    </row>
    <row r="596" ht="12.75">
      <c r="S596" s="1">
        <v>10489.256</v>
      </c>
    </row>
    <row r="597" ht="12.75">
      <c r="S597" s="1">
        <v>1084.5</v>
      </c>
    </row>
    <row r="598" ht="12.75">
      <c r="S598" s="1">
        <v>122.1</v>
      </c>
    </row>
    <row r="599" ht="12.75">
      <c r="S599" s="1">
        <v>457</v>
      </c>
    </row>
    <row r="600" ht="12.75">
      <c r="S600" s="1">
        <v>33.472</v>
      </c>
    </row>
    <row r="601" ht="12.75">
      <c r="S601" s="1">
        <v>2990.16</v>
      </c>
    </row>
    <row r="602" ht="12.75">
      <c r="S602" s="1">
        <v>2275.783</v>
      </c>
    </row>
    <row r="603" ht="12.75">
      <c r="S603" s="1">
        <v>197.016</v>
      </c>
    </row>
    <row r="604" ht="12.75">
      <c r="S604" s="1">
        <v>2113.956</v>
      </c>
    </row>
    <row r="605" ht="12.75">
      <c r="S605" s="1">
        <v>294.283</v>
      </c>
    </row>
    <row r="606" ht="12.75">
      <c r="S606" s="1">
        <v>135.071</v>
      </c>
    </row>
    <row r="607" ht="12.75">
      <c r="S607" s="1">
        <v>1543.687</v>
      </c>
    </row>
    <row r="608" ht="12.75">
      <c r="S608" s="1">
        <v>94.327</v>
      </c>
    </row>
    <row r="609" ht="12.75">
      <c r="S609" s="1">
        <v>161.734</v>
      </c>
    </row>
    <row r="610" ht="12.75">
      <c r="S610" s="1">
        <v>22.115</v>
      </c>
    </row>
    <row r="611" ht="12.75">
      <c r="S611" s="1">
        <v>779.34</v>
      </c>
    </row>
    <row r="612" ht="12.75">
      <c r="S612" s="1">
        <v>18.8</v>
      </c>
    </row>
    <row r="613" ht="12.75">
      <c r="S613" s="1">
        <v>9399.199</v>
      </c>
    </row>
    <row r="614" ht="12.75">
      <c r="S614" s="1">
        <v>1655.699</v>
      </c>
    </row>
    <row r="615" ht="12.75">
      <c r="S615" s="1">
        <v>452.6</v>
      </c>
    </row>
    <row r="616" ht="12.75">
      <c r="S616" s="1">
        <v>8185.899</v>
      </c>
    </row>
    <row r="617" ht="12.75">
      <c r="S617" s="1">
        <v>52.199</v>
      </c>
    </row>
    <row r="618" ht="12.75">
      <c r="S618" s="1">
        <v>239.899</v>
      </c>
    </row>
    <row r="619" ht="12.75">
      <c r="S619" s="1">
        <v>10</v>
      </c>
    </row>
    <row r="620" ht="12.75">
      <c r="S620" s="1">
        <v>2449.399</v>
      </c>
    </row>
    <row r="621" ht="12.75">
      <c r="S621" s="1">
        <v>398.699</v>
      </c>
    </row>
    <row r="622" ht="12.75">
      <c r="S622" s="1">
        <v>1191.699</v>
      </c>
    </row>
    <row r="623" ht="12.75">
      <c r="S623" s="1">
        <v>339.399</v>
      </c>
    </row>
    <row r="624" ht="12.75">
      <c r="S624" s="1">
        <v>619.699</v>
      </c>
    </row>
    <row r="625" ht="12.75">
      <c r="S625" s="1">
        <v>8.273</v>
      </c>
    </row>
    <row r="626" ht="12.75">
      <c r="S626" s="1">
        <v>1167.264</v>
      </c>
    </row>
    <row r="627" ht="12.75">
      <c r="S627" s="1">
        <v>394.895</v>
      </c>
    </row>
    <row r="628" ht="12.75">
      <c r="S628" s="1">
        <v>20.097</v>
      </c>
    </row>
    <row r="629" ht="12.75">
      <c r="S629" s="1">
        <v>5836.047</v>
      </c>
    </row>
    <row r="630" ht="12.75">
      <c r="S630" s="1">
        <v>3.065</v>
      </c>
    </row>
    <row r="631" ht="12.75">
      <c r="S631" s="1">
        <v>267.714</v>
      </c>
    </row>
    <row r="632" ht="12.75">
      <c r="S632" s="1">
        <v>0.688</v>
      </c>
    </row>
    <row r="633" ht="12.75">
      <c r="S633" s="1">
        <v>519.624</v>
      </c>
    </row>
    <row r="634" ht="12.75">
      <c r="S634" s="1">
        <v>77.105</v>
      </c>
    </row>
    <row r="635" ht="12.75">
      <c r="S635" s="1">
        <v>425.887</v>
      </c>
    </row>
    <row r="636" ht="12.75">
      <c r="S636" s="1">
        <v>211.275</v>
      </c>
    </row>
    <row r="637" ht="12.75">
      <c r="S637" s="1">
        <v>354.636</v>
      </c>
    </row>
    <row r="638" ht="12.75">
      <c r="S638" s="1">
        <v>1816.328</v>
      </c>
    </row>
    <row r="639" ht="12.75">
      <c r="S639" s="1">
        <v>81601.149</v>
      </c>
    </row>
    <row r="640" ht="12.75">
      <c r="S640" s="1">
        <v>12618.617</v>
      </c>
    </row>
    <row r="641" ht="12.75">
      <c r="S641" s="1">
        <v>2416.22</v>
      </c>
    </row>
    <row r="642" ht="12.75">
      <c r="S642" s="1">
        <v>35988.078</v>
      </c>
    </row>
    <row r="643" ht="12.75">
      <c r="S643" s="1">
        <v>399.593</v>
      </c>
    </row>
    <row r="644" ht="12.75">
      <c r="S644" s="1">
        <v>1196.765</v>
      </c>
    </row>
    <row r="645" ht="12.75">
      <c r="S645" s="1">
        <v>555.101</v>
      </c>
    </row>
    <row r="646" ht="12.75">
      <c r="S646" s="1">
        <v>7028.669</v>
      </c>
    </row>
    <row r="647" ht="12.75">
      <c r="S647" s="1">
        <v>2445.854</v>
      </c>
    </row>
    <row r="648" ht="12.75">
      <c r="S648" s="1">
        <v>6075.595</v>
      </c>
    </row>
    <row r="649" ht="12.75">
      <c r="S649" s="1">
        <v>29071.058</v>
      </c>
    </row>
    <row r="650" ht="12.75">
      <c r="S650" s="1">
        <v>12388.89</v>
      </c>
    </row>
    <row r="651" ht="12.75">
      <c r="S651" s="1">
        <v>56.574</v>
      </c>
    </row>
    <row r="652" ht="12.75">
      <c r="S652" s="1">
        <v>7149.905</v>
      </c>
    </row>
    <row r="653" ht="12.75">
      <c r="S653" s="1">
        <v>8850.215</v>
      </c>
    </row>
    <row r="654" ht="12.75">
      <c r="S654" s="1">
        <v>1900.989</v>
      </c>
    </row>
    <row r="655" ht="12.75">
      <c r="S655" s="1">
        <v>1904.77</v>
      </c>
    </row>
    <row r="656" ht="12.75">
      <c r="S656" s="1">
        <v>17.001</v>
      </c>
    </row>
    <row r="657" ht="12.75">
      <c r="S657" s="1">
        <v>97.312</v>
      </c>
    </row>
    <row r="658" ht="12.75">
      <c r="S658" s="1">
        <v>54.205</v>
      </c>
    </row>
    <row r="659" ht="12.75">
      <c r="S659" s="1">
        <v>3867.482</v>
      </c>
    </row>
    <row r="660" ht="12.75">
      <c r="S660" s="1">
        <v>1176.875</v>
      </c>
    </row>
    <row r="661" ht="12.75">
      <c r="S661" s="1">
        <v>2508.426</v>
      </c>
    </row>
    <row r="662" ht="12.75">
      <c r="S662" s="1">
        <v>285.65</v>
      </c>
    </row>
    <row r="663" ht="12.75">
      <c r="S663" s="1">
        <v>2333.635</v>
      </c>
    </row>
    <row r="664" ht="12.75">
      <c r="S664" s="1">
        <v>427.248</v>
      </c>
    </row>
    <row r="665" ht="12.75">
      <c r="S665" s="1">
        <v>9778.453</v>
      </c>
    </row>
    <row r="666" ht="12.75">
      <c r="S666" s="1">
        <v>3519.248</v>
      </c>
    </row>
    <row r="667" ht="12.75">
      <c r="S667" s="1">
        <v>225.689</v>
      </c>
    </row>
    <row r="668" ht="12.75">
      <c r="S668" s="1">
        <v>5029.255</v>
      </c>
    </row>
    <row r="669" ht="12.75">
      <c r="S669" s="1">
        <v>3.765</v>
      </c>
    </row>
    <row r="670" ht="12.75">
      <c r="S670" s="1">
        <v>103.381</v>
      </c>
    </row>
    <row r="671" ht="12.75">
      <c r="S671" s="1">
        <v>0.129</v>
      </c>
    </row>
    <row r="672" ht="12.75">
      <c r="S672" s="1">
        <v>721.606</v>
      </c>
    </row>
    <row r="673" ht="12.75">
      <c r="S673" s="1">
        <v>81.037</v>
      </c>
    </row>
    <row r="674" ht="12.75">
      <c r="S674" s="1">
        <v>325.131</v>
      </c>
    </row>
    <row r="675" ht="12.75">
      <c r="S675" s="1">
        <v>83.99</v>
      </c>
    </row>
    <row r="676" ht="12.75">
      <c r="S676" s="1">
        <v>823.203</v>
      </c>
    </row>
    <row r="677" ht="12.75">
      <c r="S677" s="1">
        <v>3366.831</v>
      </c>
    </row>
    <row r="678" ht="12.75">
      <c r="S678" s="1">
        <v>211242.883</v>
      </c>
    </row>
    <row r="679" ht="12.75">
      <c r="S679" s="1">
        <v>53614.134</v>
      </c>
    </row>
    <row r="680" ht="12.75">
      <c r="S680" s="1">
        <v>21890.966</v>
      </c>
    </row>
    <row r="681" ht="12.75">
      <c r="S681" s="1">
        <v>186877.489</v>
      </c>
    </row>
    <row r="682" ht="12.75">
      <c r="S682" s="1">
        <v>1033.068</v>
      </c>
    </row>
    <row r="683" ht="12.75">
      <c r="S683" s="1">
        <v>3114.549</v>
      </c>
    </row>
    <row r="684" ht="12.75">
      <c r="S684" s="1">
        <v>314.191</v>
      </c>
    </row>
    <row r="685" ht="12.75">
      <c r="S685" s="1">
        <v>68997.766</v>
      </c>
    </row>
    <row r="686" ht="12.75">
      <c r="S686" s="1">
        <v>13484.472</v>
      </c>
    </row>
    <row r="687" ht="12.75">
      <c r="S687" s="1">
        <v>52891.602</v>
      </c>
    </row>
    <row r="688" ht="12.75">
      <c r="S688" s="1">
        <v>20248.434</v>
      </c>
    </row>
    <row r="689" ht="12.75">
      <c r="S689" s="1">
        <v>83817.443</v>
      </c>
    </row>
    <row r="690" ht="12.75">
      <c r="S690" s="1">
        <v>11.964</v>
      </c>
    </row>
    <row r="691" ht="12.75">
      <c r="S691" s="1">
        <v>346.647</v>
      </c>
    </row>
    <row r="692" ht="12.75">
      <c r="S692" s="1">
        <v>9.262</v>
      </c>
    </row>
    <row r="693" ht="12.75">
      <c r="S693" s="1">
        <v>2.604</v>
      </c>
    </row>
    <row r="694" ht="12.75">
      <c r="S694" s="1">
        <v>249.049</v>
      </c>
    </row>
    <row r="695" ht="12.75">
      <c r="S695" s="1">
        <v>2.11</v>
      </c>
    </row>
    <row r="696" ht="12.75">
      <c r="S696" s="1">
        <v>20.668</v>
      </c>
    </row>
    <row r="697" ht="12.75">
      <c r="S697" s="1">
        <v>9.723</v>
      </c>
    </row>
    <row r="698" ht="12.75">
      <c r="S698" s="1">
        <v>0.284</v>
      </c>
    </row>
    <row r="699" ht="12.75">
      <c r="S699" s="1">
        <v>2.267</v>
      </c>
    </row>
    <row r="700" ht="12.75">
      <c r="S700" s="1">
        <v>0.697</v>
      </c>
    </row>
    <row r="701" ht="12.75">
      <c r="S701" s="1">
        <v>2.007</v>
      </c>
    </row>
    <row r="702" ht="12.75">
      <c r="S702" s="1">
        <v>24657.347</v>
      </c>
    </row>
    <row r="703" ht="12.75">
      <c r="S703" s="1">
        <v>13243.874</v>
      </c>
    </row>
    <row r="704" ht="12.75">
      <c r="S704" s="1">
        <v>96.516</v>
      </c>
    </row>
    <row r="705" ht="12.75">
      <c r="S705" s="1">
        <v>4829.806</v>
      </c>
    </row>
    <row r="706" ht="12.75">
      <c r="S706" s="1">
        <v>92.825</v>
      </c>
    </row>
    <row r="707" ht="12.75">
      <c r="S707" s="1">
        <v>47.202</v>
      </c>
    </row>
    <row r="708" ht="12.75">
      <c r="S708" s="1">
        <v>0.384</v>
      </c>
    </row>
    <row r="709" ht="12.75">
      <c r="S709" s="1">
        <v>722.369</v>
      </c>
    </row>
    <row r="710" ht="12.75">
      <c r="S710" s="1">
        <v>131.033</v>
      </c>
    </row>
    <row r="711" ht="12.75">
      <c r="S711" s="1">
        <v>1160.507</v>
      </c>
    </row>
    <row r="712" ht="12.75">
      <c r="S712" s="1">
        <v>247.049</v>
      </c>
    </row>
    <row r="713" ht="12.75">
      <c r="S713" s="1">
        <v>2259.882</v>
      </c>
    </row>
    <row r="714" ht="12.75">
      <c r="S714" s="1">
        <v>6196</v>
      </c>
    </row>
    <row r="715" ht="12.75">
      <c r="S715" s="1">
        <v>116</v>
      </c>
    </row>
    <row r="716" ht="12.75">
      <c r="S716" s="1">
        <v>16</v>
      </c>
    </row>
    <row r="717" ht="12.75">
      <c r="S717" s="1">
        <v>276</v>
      </c>
    </row>
    <row r="718" ht="12.75">
      <c r="S718" s="1">
        <v>18</v>
      </c>
    </row>
    <row r="719" ht="12.75">
      <c r="S719" s="1">
        <v>331</v>
      </c>
    </row>
    <row r="720" ht="12.75">
      <c r="S720" s="1">
        <v>1201.551</v>
      </c>
    </row>
    <row r="721" ht="12.75">
      <c r="S721" s="1">
        <v>280802.837</v>
      </c>
    </row>
    <row r="722" ht="12.75">
      <c r="S722" s="1">
        <v>112046.273</v>
      </c>
    </row>
    <row r="723" ht="12.75">
      <c r="S723" s="1">
        <v>13519.725</v>
      </c>
    </row>
    <row r="724" ht="12.75">
      <c r="S724" s="1">
        <v>58931.972</v>
      </c>
    </row>
    <row r="725" ht="12.75">
      <c r="S725" s="1">
        <v>3150.488</v>
      </c>
    </row>
    <row r="726" ht="12.75">
      <c r="S726" s="1">
        <v>10032.82</v>
      </c>
    </row>
    <row r="727" ht="12.75">
      <c r="S727" s="1">
        <v>2479.245</v>
      </c>
    </row>
    <row r="728" ht="12.75">
      <c r="S728" s="1">
        <v>150580.27</v>
      </c>
    </row>
    <row r="729" ht="12.75">
      <c r="S729" s="1">
        <v>59647.583</v>
      </c>
    </row>
    <row r="730" ht="12.75">
      <c r="S730" s="1">
        <v>55019.235</v>
      </c>
    </row>
    <row r="731" ht="12.75">
      <c r="S731" s="1">
        <v>278349.603</v>
      </c>
    </row>
    <row r="732" ht="12.75">
      <c r="S732" s="1">
        <v>79572.867</v>
      </c>
    </row>
    <row r="733" ht="12.75">
      <c r="S733" s="1">
        <v>233.082</v>
      </c>
    </row>
    <row r="734" ht="12.75">
      <c r="S734" s="1">
        <v>111198.487</v>
      </c>
    </row>
    <row r="735" ht="12.75">
      <c r="S735" s="1">
        <v>65743.198</v>
      </c>
    </row>
    <row r="736" ht="12.75">
      <c r="S736" s="1">
        <v>5942.703</v>
      </c>
    </row>
    <row r="737" ht="12.75">
      <c r="S737" s="1">
        <v>5254.981</v>
      </c>
    </row>
    <row r="738" ht="12.75">
      <c r="S738" s="1">
        <v>117.591</v>
      </c>
    </row>
    <row r="739" ht="12.75">
      <c r="S739" s="1">
        <v>2368.129</v>
      </c>
    </row>
    <row r="740" ht="12.75">
      <c r="S740" s="1">
        <v>837.536</v>
      </c>
    </row>
    <row r="741" ht="12.75">
      <c r="S741" s="1">
        <v>15838.025</v>
      </c>
    </row>
    <row r="742" ht="12.75">
      <c r="S742" s="1">
        <v>2587.354</v>
      </c>
    </row>
    <row r="743" ht="12.75">
      <c r="S743" s="1">
        <v>16301.326</v>
      </c>
    </row>
    <row r="744" ht="12.75">
      <c r="S744" s="1">
        <v>4419.98</v>
      </c>
    </row>
    <row r="745" ht="12.75">
      <c r="S745" s="1">
        <v>22883.874</v>
      </c>
    </row>
    <row r="746" ht="12.75">
      <c r="S746" s="1">
        <v>32.883</v>
      </c>
    </row>
    <row r="747" ht="12.75">
      <c r="S747" s="1">
        <v>5688.457</v>
      </c>
    </row>
    <row r="748" ht="12.75">
      <c r="S748" s="1">
        <v>478.055</v>
      </c>
    </row>
    <row r="749" ht="12.75">
      <c r="S749" s="1">
        <v>168.234</v>
      </c>
    </row>
    <row r="750" ht="12.75">
      <c r="S750" s="1">
        <v>1445.28</v>
      </c>
    </row>
    <row r="751" ht="12.75">
      <c r="S751" s="1">
        <v>3.226</v>
      </c>
    </row>
    <row r="752" ht="12.75">
      <c r="S752" s="1">
        <v>109.588</v>
      </c>
    </row>
    <row r="753" ht="12.75">
      <c r="S753" s="1">
        <v>0.515</v>
      </c>
    </row>
    <row r="754" ht="12.75">
      <c r="S754" s="1">
        <v>988.699</v>
      </c>
    </row>
    <row r="755" ht="12.75">
      <c r="S755" s="1">
        <v>42.947</v>
      </c>
    </row>
    <row r="756" ht="12.75">
      <c r="S756" s="1">
        <v>162.195</v>
      </c>
    </row>
    <row r="757" ht="12.75">
      <c r="S757" s="1">
        <v>43.226</v>
      </c>
    </row>
    <row r="758" ht="12.75">
      <c r="S758" s="1">
        <v>188.58</v>
      </c>
    </row>
    <row r="759" ht="12.75">
      <c r="S759" s="1">
        <v>2749.042</v>
      </c>
    </row>
    <row r="760" ht="12.75">
      <c r="S760" s="1">
        <v>114650.438</v>
      </c>
    </row>
    <row r="761" ht="12.75">
      <c r="S761" s="1">
        <v>52675.975</v>
      </c>
    </row>
    <row r="762" ht="12.75">
      <c r="S762" s="1">
        <v>8265.159</v>
      </c>
    </row>
    <row r="763" ht="12.75">
      <c r="S763" s="1">
        <v>26705.677</v>
      </c>
    </row>
    <row r="764" ht="12.75">
      <c r="S764" s="1">
        <v>954.715</v>
      </c>
    </row>
    <row r="765" ht="12.75">
      <c r="S765" s="1">
        <v>4117.635</v>
      </c>
    </row>
    <row r="766" ht="12.75">
      <c r="S766" s="1">
        <v>1240.681</v>
      </c>
    </row>
    <row r="767" ht="12.75">
      <c r="S767" s="1">
        <v>109037.975</v>
      </c>
    </row>
    <row r="768" ht="12.75">
      <c r="S768" s="1">
        <v>19302.811</v>
      </c>
    </row>
    <row r="769" ht="12.75">
      <c r="S769" s="1">
        <v>19705.091</v>
      </c>
    </row>
    <row r="770" ht="12.75">
      <c r="S770" s="1">
        <v>7259.962</v>
      </c>
    </row>
    <row r="771" ht="12.75">
      <c r="S771" s="1">
        <v>24919.465</v>
      </c>
    </row>
    <row r="772" ht="12.75">
      <c r="S772" s="1">
        <v>332.94</v>
      </c>
    </row>
    <row r="773" ht="12.75">
      <c r="S773" s="1">
        <v>2637.327</v>
      </c>
    </row>
    <row r="774" ht="12.75">
      <c r="S774" s="1">
        <v>2064.614</v>
      </c>
    </row>
    <row r="775" ht="12.75">
      <c r="S775" s="1">
        <v>216.552</v>
      </c>
    </row>
    <row r="776" ht="12.75">
      <c r="S776" s="1">
        <v>617.53</v>
      </c>
    </row>
    <row r="777" ht="12.75">
      <c r="S777" s="1">
        <v>0.039</v>
      </c>
    </row>
    <row r="778" ht="12.75">
      <c r="S778" s="1">
        <v>125.129</v>
      </c>
    </row>
    <row r="779" ht="12.75">
      <c r="S779" s="1">
        <v>5.56</v>
      </c>
    </row>
    <row r="780" ht="12.75">
      <c r="S780" s="1">
        <v>3131.991</v>
      </c>
    </row>
    <row r="781" ht="12.75">
      <c r="S781" s="1">
        <v>219.975</v>
      </c>
    </row>
    <row r="782" ht="12.75">
      <c r="S782" s="1">
        <v>134.427</v>
      </c>
    </row>
    <row r="783" ht="12.75">
      <c r="S783" s="1">
        <v>2608.084</v>
      </c>
    </row>
    <row r="784" ht="12.75">
      <c r="S784" s="1">
        <v>135.283</v>
      </c>
    </row>
    <row r="785" ht="12.75">
      <c r="S785" s="1">
        <v>10887.846</v>
      </c>
    </row>
    <row r="786" ht="12.75">
      <c r="S786" s="1">
        <v>1354.037</v>
      </c>
    </row>
    <row r="787" ht="12.75">
      <c r="S787" s="1">
        <v>7.603</v>
      </c>
    </row>
    <row r="788" ht="12.75">
      <c r="S788" s="1">
        <v>1706.527</v>
      </c>
    </row>
    <row r="789" ht="12.75">
      <c r="S789" s="1">
        <v>769.207</v>
      </c>
    </row>
    <row r="790" ht="12.75">
      <c r="S790" s="1">
        <v>60.742</v>
      </c>
    </row>
    <row r="791" ht="12.75">
      <c r="S791" s="1">
        <v>22.117</v>
      </c>
    </row>
    <row r="792" ht="12.75">
      <c r="S792" s="1">
        <v>654.111</v>
      </c>
    </row>
    <row r="793" ht="12.75">
      <c r="S793" s="1">
        <v>6.712</v>
      </c>
    </row>
    <row r="794" ht="12.75">
      <c r="S794" s="1">
        <v>1019.38</v>
      </c>
    </row>
    <row r="795" ht="12.75">
      <c r="S795" s="1">
        <v>28.415</v>
      </c>
    </row>
    <row r="796" ht="12.75">
      <c r="S796" s="1">
        <v>1080.013</v>
      </c>
    </row>
    <row r="797" ht="12.75">
      <c r="S797" s="1">
        <v>158.794</v>
      </c>
    </row>
    <row r="798" ht="12.75">
      <c r="S798" s="1">
        <v>12484.436</v>
      </c>
    </row>
    <row r="799" ht="12.75">
      <c r="S799" s="1">
        <v>5845.149</v>
      </c>
    </row>
    <row r="800" ht="12.75">
      <c r="S800" s="1">
        <v>798.831</v>
      </c>
    </row>
    <row r="801" ht="12.75">
      <c r="S801" s="1">
        <v>1371.438</v>
      </c>
    </row>
    <row r="802" ht="12.75">
      <c r="S802" s="1">
        <v>10.924</v>
      </c>
    </row>
    <row r="803" ht="12.75">
      <c r="S803" s="1">
        <v>137.067</v>
      </c>
    </row>
    <row r="804" ht="12.75">
      <c r="S804" s="1">
        <v>5.306</v>
      </c>
    </row>
    <row r="805" ht="12.75">
      <c r="S805" s="1">
        <v>2261.788</v>
      </c>
    </row>
    <row r="806" ht="12.75">
      <c r="S806" s="1">
        <v>480.249</v>
      </c>
    </row>
    <row r="807" ht="12.75">
      <c r="S807" s="1">
        <v>92.149</v>
      </c>
    </row>
    <row r="808" ht="12.75">
      <c r="S808" s="1">
        <v>2237.01</v>
      </c>
    </row>
    <row r="809" ht="12.75">
      <c r="S809" s="1">
        <v>1305.169</v>
      </c>
    </row>
    <row r="810" ht="12.75">
      <c r="S810" s="1">
        <v>4.566</v>
      </c>
    </row>
    <row r="811" ht="12.75">
      <c r="S811" s="1">
        <v>6862.975</v>
      </c>
    </row>
    <row r="812" ht="12.75">
      <c r="S812" s="1">
        <v>922.259</v>
      </c>
    </row>
    <row r="813" ht="12.75">
      <c r="S813" s="1">
        <v>277.394</v>
      </c>
    </row>
    <row r="814" ht="12.75">
      <c r="S814" s="1">
        <v>1025.559</v>
      </c>
    </row>
    <row r="815" ht="12.75">
      <c r="S815" s="1">
        <v>2.611</v>
      </c>
    </row>
    <row r="816" ht="12.75">
      <c r="S816" s="1">
        <v>34.279</v>
      </c>
    </row>
    <row r="817" ht="12.75">
      <c r="S817" s="1">
        <v>0.566</v>
      </c>
    </row>
    <row r="818" ht="12.75">
      <c r="S818" s="1">
        <v>424.987</v>
      </c>
    </row>
    <row r="819" ht="12.75">
      <c r="S819" s="1">
        <v>100.591</v>
      </c>
    </row>
    <row r="820" ht="12.75">
      <c r="S820" s="1">
        <v>532.48</v>
      </c>
    </row>
    <row r="821" ht="12.75">
      <c r="S821" s="1">
        <v>8330.757</v>
      </c>
    </row>
    <row r="822" ht="12.75">
      <c r="S822" s="1">
        <v>1593.833</v>
      </c>
    </row>
    <row r="823" ht="12.75">
      <c r="S823" s="1">
        <v>521.085</v>
      </c>
    </row>
    <row r="824" ht="12.75">
      <c r="S824" s="1">
        <v>30447.164</v>
      </c>
    </row>
    <row r="825" ht="12.75">
      <c r="S825" s="1">
        <v>5470.274</v>
      </c>
    </row>
    <row r="826" ht="12.75">
      <c r="S826" s="1">
        <v>714.634</v>
      </c>
    </row>
    <row r="827" ht="12.75">
      <c r="S827" s="1">
        <v>3874.468</v>
      </c>
    </row>
    <row r="828" ht="12.75">
      <c r="S828" s="1">
        <v>38.927</v>
      </c>
    </row>
    <row r="829" ht="12.75">
      <c r="S829" s="1">
        <v>268.389</v>
      </c>
    </row>
    <row r="830" ht="12.75">
      <c r="S830" s="1">
        <v>8.916</v>
      </c>
    </row>
    <row r="831" ht="12.75">
      <c r="S831" s="1">
        <v>3869.049</v>
      </c>
    </row>
    <row r="832" ht="12.75">
      <c r="S832" s="1">
        <v>415.618</v>
      </c>
    </row>
    <row r="833" ht="12.75">
      <c r="S833" s="1">
        <v>1628.944</v>
      </c>
    </row>
    <row r="834" ht="12.75">
      <c r="S834" s="1">
        <v>2335.876</v>
      </c>
    </row>
    <row r="835" ht="12.75">
      <c r="S835" s="1">
        <v>2674.144</v>
      </c>
    </row>
    <row r="836" ht="12.75">
      <c r="S836" s="1">
        <v>1366.729</v>
      </c>
    </row>
    <row r="837" ht="12.75">
      <c r="S837" s="1">
        <v>50288.938</v>
      </c>
    </row>
    <row r="838" ht="12.75">
      <c r="S838" s="1">
        <v>9090.832</v>
      </c>
    </row>
    <row r="839" ht="12.75">
      <c r="S839" s="1">
        <v>495.095</v>
      </c>
    </row>
    <row r="840" ht="12.75">
      <c r="S840" s="1">
        <v>25862.518</v>
      </c>
    </row>
    <row r="841" ht="12.75">
      <c r="S841" s="1">
        <v>281.95</v>
      </c>
    </row>
    <row r="842" ht="12.75">
      <c r="S842" s="1">
        <v>555.93</v>
      </c>
    </row>
    <row r="843" ht="12.75">
      <c r="S843" s="1">
        <v>3877.866</v>
      </c>
    </row>
    <row r="844" ht="12.75">
      <c r="S844" s="1">
        <v>365.586</v>
      </c>
    </row>
    <row r="845" ht="12.75">
      <c r="S845" s="1">
        <v>10249.188</v>
      </c>
    </row>
    <row r="846" ht="12.75">
      <c r="S846" s="1">
        <v>2739.364</v>
      </c>
    </row>
    <row r="847" ht="12.75">
      <c r="S847" s="1">
        <v>421.826</v>
      </c>
    </row>
    <row r="848" ht="12.75">
      <c r="S848" s="1">
        <v>3259</v>
      </c>
    </row>
    <row r="849" ht="12.75">
      <c r="S849" s="1">
        <v>121345</v>
      </c>
    </row>
    <row r="850" ht="12.75">
      <c r="S850" s="1">
        <v>76517</v>
      </c>
    </row>
    <row r="851" ht="12.75">
      <c r="S851" s="1">
        <v>2392</v>
      </c>
    </row>
    <row r="852" ht="12.75">
      <c r="S852" s="1">
        <v>35979</v>
      </c>
    </row>
    <row r="853" ht="12.75">
      <c r="S853" s="1">
        <v>35219</v>
      </c>
    </row>
    <row r="854" ht="12.75">
      <c r="S854" s="1">
        <v>7066</v>
      </c>
    </row>
    <row r="855" ht="12.75">
      <c r="S855" s="1">
        <v>31002</v>
      </c>
    </row>
    <row r="856" ht="12.75">
      <c r="S856" s="1">
        <v>4819</v>
      </c>
    </row>
    <row r="857" ht="12.75">
      <c r="S857" s="1">
        <v>14690</v>
      </c>
    </row>
    <row r="858" ht="12.75">
      <c r="S858" s="1">
        <v>3468</v>
      </c>
    </row>
    <row r="859" ht="12.75">
      <c r="S859" s="1">
        <v>4248</v>
      </c>
    </row>
    <row r="860" ht="12.75">
      <c r="S860" s="1">
        <v>1570.908</v>
      </c>
    </row>
    <row r="861" ht="12.75">
      <c r="S861" s="1">
        <v>78731.184</v>
      </c>
    </row>
    <row r="862" ht="12.75">
      <c r="S862" s="1">
        <v>73957.18</v>
      </c>
    </row>
    <row r="863" ht="12.75">
      <c r="S863" s="1">
        <v>3305.197</v>
      </c>
    </row>
    <row r="864" ht="12.75">
      <c r="S864" s="1">
        <v>18090.336</v>
      </c>
    </row>
    <row r="865" ht="12.75">
      <c r="S865" s="1">
        <v>635.816</v>
      </c>
    </row>
    <row r="866" ht="12.75">
      <c r="S866" s="1">
        <v>398.809</v>
      </c>
    </row>
    <row r="867" ht="12.75">
      <c r="S867" s="1">
        <v>65.785</v>
      </c>
    </row>
    <row r="868" ht="12.75">
      <c r="S868" s="1">
        <v>22829.483</v>
      </c>
    </row>
    <row r="869" ht="12.75">
      <c r="S869" s="1">
        <v>3787.388</v>
      </c>
    </row>
    <row r="870" ht="12.75">
      <c r="S870" s="1">
        <v>4783.847</v>
      </c>
    </row>
    <row r="871" ht="12.75">
      <c r="S871" s="1">
        <v>31793.949</v>
      </c>
    </row>
    <row r="872" ht="12.75">
      <c r="S872" s="1">
        <v>7138.878</v>
      </c>
    </row>
    <row r="873" ht="12.75">
      <c r="S873" s="1">
        <v>299</v>
      </c>
    </row>
    <row r="874" ht="12.75">
      <c r="S874" s="1">
        <v>24323</v>
      </c>
    </row>
    <row r="875" ht="12.75">
      <c r="S875" s="1">
        <v>5026</v>
      </c>
    </row>
    <row r="876" ht="12.75">
      <c r="S876" s="1">
        <v>417</v>
      </c>
    </row>
    <row r="877" ht="12.75">
      <c r="S877" s="1">
        <v>17688</v>
      </c>
    </row>
    <row r="878" ht="12.75">
      <c r="S878" s="1">
        <v>1396</v>
      </c>
    </row>
    <row r="879" ht="12.75">
      <c r="S879" s="1">
        <v>862</v>
      </c>
    </row>
    <row r="880" ht="12.75">
      <c r="S880" s="1">
        <v>1</v>
      </c>
    </row>
    <row r="881" ht="12.75">
      <c r="S881" s="1">
        <v>3565</v>
      </c>
    </row>
    <row r="882" ht="12.75">
      <c r="S882" s="1">
        <v>363</v>
      </c>
    </row>
    <row r="883" ht="12.75">
      <c r="S883" s="1">
        <v>6021</v>
      </c>
    </row>
    <row r="884" ht="12.75">
      <c r="S884" s="1">
        <v>379</v>
      </c>
    </row>
    <row r="885" ht="12.75">
      <c r="S885" s="1">
        <v>1681</v>
      </c>
    </row>
    <row r="886" ht="12.75">
      <c r="S886" s="1">
        <v>350953.121</v>
      </c>
    </row>
    <row r="887" ht="12.75">
      <c r="S887" s="1">
        <v>517578.086</v>
      </c>
    </row>
    <row r="888" ht="12.75">
      <c r="S888" s="1">
        <v>4637708.935</v>
      </c>
    </row>
    <row r="889" ht="12.75">
      <c r="S889" s="1">
        <v>608496.777</v>
      </c>
    </row>
    <row r="890" ht="12.75">
      <c r="S890" s="1">
        <v>1845257.267</v>
      </c>
    </row>
    <row r="891" ht="12.75">
      <c r="S891" s="1">
        <v>402101.764</v>
      </c>
    </row>
    <row r="892" ht="12.75">
      <c r="S892" s="1">
        <v>335337.517</v>
      </c>
    </row>
    <row r="893" ht="12.75">
      <c r="S893" s="1">
        <v>92225.185</v>
      </c>
    </row>
    <row r="894" ht="12.75">
      <c r="S894" s="1">
        <v>3232684.587</v>
      </c>
    </row>
    <row r="895" ht="12.75">
      <c r="S895" s="1">
        <v>744225.405</v>
      </c>
    </row>
    <row r="896" ht="12.75">
      <c r="S896" s="1">
        <v>1301762.757</v>
      </c>
    </row>
    <row r="897" ht="12.75">
      <c r="S897" s="1">
        <v>3717677.699</v>
      </c>
    </row>
    <row r="898" ht="12.75">
      <c r="S898" s="1">
        <v>2177164.164</v>
      </c>
    </row>
    <row r="899" ht="12.75">
      <c r="S899" s="1">
        <v>178.598</v>
      </c>
    </row>
    <row r="900" ht="12.75">
      <c r="S900" s="1">
        <v>114962.144</v>
      </c>
    </row>
    <row r="901" ht="12.75">
      <c r="S901" s="1">
        <v>211888.175</v>
      </c>
    </row>
    <row r="902" ht="12.75">
      <c r="S902" s="1">
        <v>3362.398</v>
      </c>
    </row>
    <row r="903" ht="12.75">
      <c r="S903" s="1">
        <v>56441.936</v>
      </c>
    </row>
    <row r="904" ht="12.75">
      <c r="S904" s="1">
        <v>7792.968</v>
      </c>
    </row>
    <row r="905" ht="12.75">
      <c r="S905" s="1">
        <v>7038.988</v>
      </c>
    </row>
    <row r="906" ht="12.75">
      <c r="S906" s="1">
        <v>117.483</v>
      </c>
    </row>
    <row r="907" ht="12.75">
      <c r="S907" s="1">
        <v>61348.479</v>
      </c>
    </row>
    <row r="908" ht="12.75">
      <c r="S908" s="1">
        <v>4141.352</v>
      </c>
    </row>
    <row r="909" ht="12.75">
      <c r="S909" s="1">
        <v>8352.026</v>
      </c>
    </row>
    <row r="910" ht="12.75">
      <c r="S910" s="1">
        <v>1743.886</v>
      </c>
    </row>
    <row r="911" ht="12.75">
      <c r="S911" s="1">
        <v>6480.815</v>
      </c>
    </row>
    <row r="912" ht="12.75">
      <c r="S912" s="1">
        <v>4185.476</v>
      </c>
    </row>
    <row r="913" ht="12.75">
      <c r="S913" s="1">
        <v>136814.18</v>
      </c>
    </row>
    <row r="914" ht="12.75">
      <c r="S914" s="1">
        <v>14534.155</v>
      </c>
    </row>
    <row r="915" ht="12.75">
      <c r="S915" s="1">
        <v>1948.603</v>
      </c>
    </row>
    <row r="916" ht="12.75">
      <c r="S916" s="1">
        <v>3911.149</v>
      </c>
    </row>
    <row r="917" ht="12.75">
      <c r="S917" s="1">
        <v>1068.795</v>
      </c>
    </row>
    <row r="918" ht="12.75">
      <c r="S918" s="1">
        <v>947.929</v>
      </c>
    </row>
    <row r="919" ht="12.75">
      <c r="S919" s="1">
        <v>336.378</v>
      </c>
    </row>
    <row r="920" ht="12.75">
      <c r="S920" s="1">
        <v>6099.136</v>
      </c>
    </row>
    <row r="921" ht="12.75">
      <c r="S921" s="1">
        <v>4633.388</v>
      </c>
    </row>
    <row r="922" ht="12.75">
      <c r="S922" s="1">
        <v>7818.472</v>
      </c>
    </row>
    <row r="923" ht="12.75">
      <c r="S923" s="1">
        <v>5411.967</v>
      </c>
    </row>
    <row r="924" ht="12.75">
      <c r="S924" s="1">
        <v>3339.234</v>
      </c>
    </row>
    <row r="925" ht="12.75">
      <c r="S925" s="1">
        <v>140.31</v>
      </c>
    </row>
    <row r="926" ht="12.75">
      <c r="S926" s="1">
        <v>62402.578</v>
      </c>
    </row>
    <row r="927" ht="12.75">
      <c r="S927" s="1">
        <v>769.295</v>
      </c>
    </row>
    <row r="928" ht="12.75">
      <c r="S928" s="1">
        <v>2498.188</v>
      </c>
    </row>
    <row r="929" ht="12.75">
      <c r="S929" s="1">
        <v>2411.02</v>
      </c>
    </row>
    <row r="930" ht="12.75">
      <c r="S930" s="1">
        <v>714.63</v>
      </c>
    </row>
    <row r="931" ht="12.75">
      <c r="S931" s="1">
        <v>1737.683</v>
      </c>
    </row>
    <row r="932" ht="12.75">
      <c r="S932" s="1">
        <v>26.693</v>
      </c>
    </row>
    <row r="933" ht="12.75">
      <c r="S933" s="1">
        <v>6508.602</v>
      </c>
    </row>
    <row r="934" ht="12.75">
      <c r="S934" s="1">
        <v>736.497</v>
      </c>
    </row>
    <row r="935" ht="12.75">
      <c r="S935" s="1">
        <v>8142.863</v>
      </c>
    </row>
    <row r="936" ht="12.75">
      <c r="S936" s="1">
        <v>9087.184</v>
      </c>
    </row>
    <row r="937" ht="12.75">
      <c r="S937" s="1">
        <v>18232.451</v>
      </c>
    </row>
    <row r="938" ht="12.75">
      <c r="S938" s="1">
        <v>8.951</v>
      </c>
    </row>
    <row r="939" ht="12.75">
      <c r="S939" s="1">
        <v>785.164</v>
      </c>
    </row>
    <row r="940" ht="12.75">
      <c r="S940" s="1">
        <v>267.568</v>
      </c>
    </row>
    <row r="941" ht="12.75">
      <c r="S941" s="1">
        <v>148.561</v>
      </c>
    </row>
    <row r="942" ht="12.75">
      <c r="S942" s="1">
        <v>693.097</v>
      </c>
    </row>
    <row r="943" ht="12.75">
      <c r="S943" s="1">
        <v>4.48</v>
      </c>
    </row>
    <row r="944" ht="12.75">
      <c r="S944" s="1">
        <v>85.044</v>
      </c>
    </row>
    <row r="945" ht="12.75">
      <c r="S945" s="1">
        <v>119.32</v>
      </c>
    </row>
    <row r="946" ht="12.75">
      <c r="S946" s="1">
        <v>16.829</v>
      </c>
    </row>
    <row r="947" ht="12.75">
      <c r="S947" s="1">
        <v>144.49</v>
      </c>
    </row>
    <row r="948" ht="12.75">
      <c r="S948" s="1">
        <v>22.419</v>
      </c>
    </row>
    <row r="949" ht="12.75">
      <c r="S949" s="1">
        <v>186.258</v>
      </c>
    </row>
    <row r="950" ht="12.75">
      <c r="S950" s="1">
        <v>937.494</v>
      </c>
    </row>
    <row r="951" ht="12.75">
      <c r="S951" s="1">
        <v>206833.237</v>
      </c>
    </row>
    <row r="952" ht="12.75">
      <c r="S952" s="1">
        <v>28994.269</v>
      </c>
    </row>
    <row r="953" ht="12.75">
      <c r="S953" s="1">
        <v>8345.863</v>
      </c>
    </row>
    <row r="954" ht="12.75">
      <c r="S954" s="1">
        <v>42323.982</v>
      </c>
    </row>
    <row r="955" ht="12.75">
      <c r="S955" s="1">
        <v>2689.603</v>
      </c>
    </row>
    <row r="956" ht="12.75">
      <c r="S956" s="1">
        <v>6104.886</v>
      </c>
    </row>
    <row r="957" ht="12.75">
      <c r="S957" s="1">
        <v>935.272</v>
      </c>
    </row>
    <row r="958" ht="12.75">
      <c r="S958" s="1">
        <v>20424.477</v>
      </c>
    </row>
    <row r="959" ht="12.75">
      <c r="S959" s="1">
        <v>5575.909</v>
      </c>
    </row>
    <row r="960" ht="12.75">
      <c r="S960" s="1">
        <v>33169.849</v>
      </c>
    </row>
    <row r="961" ht="12.75">
      <c r="S961" s="1">
        <v>26175.327</v>
      </c>
    </row>
    <row r="962" ht="12.75">
      <c r="S962" s="1">
        <v>17922.271</v>
      </c>
    </row>
    <row r="963" ht="12.75">
      <c r="S963" s="1">
        <v>188.697</v>
      </c>
    </row>
    <row r="964" ht="12.75">
      <c r="S964" s="1">
        <v>28939.434</v>
      </c>
    </row>
    <row r="965" ht="12.75">
      <c r="S965" s="1">
        <v>15238.305</v>
      </c>
    </row>
    <row r="966" ht="12.75">
      <c r="S966" s="1">
        <v>558.381</v>
      </c>
    </row>
    <row r="967" ht="12.75">
      <c r="S967" s="1">
        <v>4895.595</v>
      </c>
    </row>
    <row r="968" ht="12.75">
      <c r="S968" s="1">
        <v>3422.24</v>
      </c>
    </row>
    <row r="969" ht="12.75">
      <c r="S969" s="1">
        <v>543.449</v>
      </c>
    </row>
    <row r="970" ht="12.75">
      <c r="S970" s="1">
        <v>70.688</v>
      </c>
    </row>
    <row r="971" ht="12.75">
      <c r="S971" s="1">
        <v>7600.376</v>
      </c>
    </row>
    <row r="972" ht="12.75">
      <c r="S972" s="1">
        <v>1254.599</v>
      </c>
    </row>
    <row r="973" ht="12.75">
      <c r="S973" s="1">
        <v>1464.562</v>
      </c>
    </row>
    <row r="974" ht="12.75">
      <c r="S974" s="1">
        <v>98.839</v>
      </c>
    </row>
    <row r="975" ht="12.75">
      <c r="S975" s="1">
        <v>64.268</v>
      </c>
    </row>
    <row r="976" ht="12.75">
      <c r="S976" s="1">
        <v>673.811</v>
      </c>
    </row>
    <row r="977" ht="12.75">
      <c r="S977" s="1">
        <v>14384.175</v>
      </c>
    </row>
    <row r="978" ht="12.75">
      <c r="S978" s="1">
        <v>24959.494</v>
      </c>
    </row>
    <row r="979" ht="12.75">
      <c r="S979" s="1">
        <v>575.921</v>
      </c>
    </row>
    <row r="980" ht="12.75">
      <c r="S980" s="1">
        <v>5237.424</v>
      </c>
    </row>
    <row r="981" ht="12.75">
      <c r="S981" s="1">
        <v>132.634</v>
      </c>
    </row>
    <row r="982" ht="12.75">
      <c r="S982" s="1">
        <v>535.943</v>
      </c>
    </row>
    <row r="983" ht="12.75">
      <c r="S983" s="1">
        <v>51.169</v>
      </c>
    </row>
    <row r="984" ht="12.75">
      <c r="S984" s="1">
        <v>5575.698</v>
      </c>
    </row>
    <row r="985" ht="12.75">
      <c r="S985" s="1">
        <v>486.012</v>
      </c>
    </row>
    <row r="986" ht="12.75">
      <c r="S986" s="1">
        <v>1133.586</v>
      </c>
    </row>
    <row r="987" ht="12.75">
      <c r="S987" s="1">
        <v>198.405</v>
      </c>
    </row>
    <row r="988" ht="12.75">
      <c r="S988" s="1">
        <v>8902.41</v>
      </c>
    </row>
    <row r="989" ht="12.75">
      <c r="S989" s="1">
        <v>17291.295</v>
      </c>
    </row>
    <row r="990" ht="12.75">
      <c r="S990" s="1">
        <v>167303.891</v>
      </c>
    </row>
    <row r="991" ht="12.75">
      <c r="S991" s="1">
        <v>153799.37</v>
      </c>
    </row>
    <row r="992" ht="12.75">
      <c r="S992" s="1">
        <v>6226.021</v>
      </c>
    </row>
    <row r="993" ht="12.75">
      <c r="S993" s="1">
        <v>29146.568</v>
      </c>
    </row>
    <row r="994" ht="12.75">
      <c r="S994" s="1">
        <v>5967.331</v>
      </c>
    </row>
    <row r="995" ht="12.75">
      <c r="S995" s="1">
        <v>4493.997</v>
      </c>
    </row>
    <row r="996" ht="12.75">
      <c r="S996" s="1">
        <v>2106.774</v>
      </c>
    </row>
    <row r="997" ht="12.75">
      <c r="S997" s="1">
        <v>55008.392</v>
      </c>
    </row>
    <row r="998" ht="12.75">
      <c r="S998" s="1">
        <v>16235.164</v>
      </c>
    </row>
    <row r="999" ht="12.75">
      <c r="S999" s="1">
        <v>21905.439</v>
      </c>
    </row>
    <row r="1000" ht="12.75">
      <c r="S1000" s="1">
        <v>89054.328</v>
      </c>
    </row>
    <row r="1001" ht="12.75">
      <c r="S1001" s="1">
        <v>109191.439</v>
      </c>
    </row>
    <row r="1002" ht="12.75">
      <c r="S1002" s="1">
        <v>1.586</v>
      </c>
    </row>
    <row r="1003" ht="12.75">
      <c r="S1003" s="1">
        <v>867.677</v>
      </c>
    </row>
    <row r="1004" ht="12.75">
      <c r="S1004" s="1">
        <v>197.136</v>
      </c>
    </row>
    <row r="1005" ht="12.75">
      <c r="S1005" s="1">
        <v>111.139</v>
      </c>
    </row>
    <row r="1006" ht="12.75">
      <c r="S1006" s="1">
        <v>203.201</v>
      </c>
    </row>
    <row r="1007" ht="12.75">
      <c r="S1007" s="1">
        <v>0.196</v>
      </c>
    </row>
    <row r="1008" ht="12.75">
      <c r="S1008" s="1">
        <v>41.626</v>
      </c>
    </row>
    <row r="1009" ht="12.75">
      <c r="S1009" s="1">
        <v>3.201</v>
      </c>
    </row>
    <row r="1010" ht="12.75">
      <c r="S1010" s="1">
        <v>75.561</v>
      </c>
    </row>
    <row r="1011" ht="12.75">
      <c r="S1011" s="1">
        <v>2.828</v>
      </c>
    </row>
    <row r="1012" ht="12.75">
      <c r="S1012" s="1">
        <v>24.477</v>
      </c>
    </row>
    <row r="1013" ht="12.75">
      <c r="S1013" s="1">
        <v>1135.425</v>
      </c>
    </row>
    <row r="1014" ht="12.75">
      <c r="S1014" s="1">
        <v>162222.394</v>
      </c>
    </row>
    <row r="1015" ht="12.75">
      <c r="S1015" s="1">
        <v>88981.845</v>
      </c>
    </row>
    <row r="1016" ht="12.75">
      <c r="S1016" s="1">
        <v>4859.824</v>
      </c>
    </row>
    <row r="1017" ht="12.75">
      <c r="S1017" s="1">
        <v>26332.986</v>
      </c>
    </row>
    <row r="1018" ht="12.75">
      <c r="S1018" s="1">
        <v>1401.049</v>
      </c>
    </row>
    <row r="1019" ht="12.75">
      <c r="S1019" s="1">
        <v>4616.423</v>
      </c>
    </row>
    <row r="1020" ht="12.75">
      <c r="S1020" s="1">
        <v>1109.922</v>
      </c>
    </row>
    <row r="1021" ht="12.75">
      <c r="S1021" s="1">
        <v>72953.745</v>
      </c>
    </row>
    <row r="1022" ht="12.75">
      <c r="S1022" s="1">
        <v>16777.841</v>
      </c>
    </row>
    <row r="1023" ht="12.75">
      <c r="S1023" s="1">
        <v>16539.958</v>
      </c>
    </row>
    <row r="1024" ht="12.75">
      <c r="S1024" s="1">
        <v>7330.676</v>
      </c>
    </row>
    <row r="1025" ht="12.75">
      <c r="S1025" s="1">
        <v>28627.551</v>
      </c>
    </row>
    <row r="1026" ht="12.75">
      <c r="S1026" s="1">
        <v>17685.853</v>
      </c>
    </row>
    <row r="1027" ht="12.75">
      <c r="S1027" s="1">
        <v>496814.389</v>
      </c>
    </row>
    <row r="1028" ht="12.75">
      <c r="S1028" s="1">
        <v>349271.92</v>
      </c>
    </row>
    <row r="1029" ht="12.75">
      <c r="S1029" s="1">
        <v>22363.503</v>
      </c>
    </row>
    <row r="1030" ht="12.75">
      <c r="S1030" s="1">
        <v>39062.312</v>
      </c>
    </row>
    <row r="1031" ht="12.75">
      <c r="S1031" s="1">
        <v>8066.841</v>
      </c>
    </row>
    <row r="1032" ht="12.75">
      <c r="S1032" s="1">
        <v>17225.056</v>
      </c>
    </row>
    <row r="1033" ht="12.75">
      <c r="S1033" s="1">
        <v>4298.644</v>
      </c>
    </row>
    <row r="1034" ht="12.75">
      <c r="S1034" s="1">
        <v>331821.484</v>
      </c>
    </row>
    <row r="1035" ht="12.75">
      <c r="S1035" s="1">
        <v>39540.767</v>
      </c>
    </row>
    <row r="1036" ht="12.75">
      <c r="S1036" s="1">
        <v>29039.772</v>
      </c>
    </row>
    <row r="1037" ht="12.75">
      <c r="S1037" s="1">
        <v>24051.731</v>
      </c>
    </row>
    <row r="1038" ht="12.75">
      <c r="S1038" s="1">
        <v>112993.457</v>
      </c>
    </row>
    <row r="1039" ht="12.75">
      <c r="S1039" s="1">
        <v>9689.269</v>
      </c>
    </row>
    <row r="1040" ht="12.75">
      <c r="S1040" s="1">
        <v>894.692</v>
      </c>
    </row>
    <row r="1041" ht="12.75">
      <c r="S1041" s="1">
        <v>177.265</v>
      </c>
    </row>
    <row r="1042" ht="12.75">
      <c r="S1042" s="1">
        <v>1876.54</v>
      </c>
    </row>
    <row r="1043" ht="12.75">
      <c r="S1043" s="1">
        <v>13.102</v>
      </c>
    </row>
    <row r="1044" ht="12.75">
      <c r="S1044" s="1">
        <v>58.291</v>
      </c>
    </row>
    <row r="1045" ht="12.75">
      <c r="S1045" s="1">
        <v>18.697</v>
      </c>
    </row>
    <row r="1046" ht="12.75">
      <c r="S1046" s="1">
        <v>889.274</v>
      </c>
    </row>
    <row r="1047" ht="12.75">
      <c r="S1047" s="1">
        <v>48.305</v>
      </c>
    </row>
    <row r="1048" ht="12.75">
      <c r="S1048" s="1">
        <v>224.684</v>
      </c>
    </row>
    <row r="1049" ht="12.75">
      <c r="S1049" s="1">
        <v>221.885</v>
      </c>
    </row>
    <row r="1050" ht="12.75">
      <c r="S1050" s="1">
        <v>16691.684</v>
      </c>
    </row>
    <row r="1051" ht="12.75">
      <c r="S1051" s="1">
        <v>6506.628</v>
      </c>
    </row>
    <row r="1052" ht="12.75">
      <c r="S1052" s="1">
        <v>31.122</v>
      </c>
    </row>
    <row r="1053" ht="12.75">
      <c r="S1053" s="1">
        <v>6590.711</v>
      </c>
    </row>
    <row r="1054" ht="12.75">
      <c r="S1054" s="1">
        <v>227.26</v>
      </c>
    </row>
    <row r="1055" ht="12.75">
      <c r="S1055" s="1">
        <v>40.695</v>
      </c>
    </row>
    <row r="1056" ht="12.75">
      <c r="S1056" s="1">
        <v>6.74</v>
      </c>
    </row>
    <row r="1057" ht="12.75">
      <c r="S1057" s="1">
        <v>1166.637</v>
      </c>
    </row>
    <row r="1058" ht="12.75">
      <c r="S1058" s="1">
        <v>183.69</v>
      </c>
    </row>
    <row r="1059" ht="12.75">
      <c r="S1059" s="1">
        <v>845.964</v>
      </c>
    </row>
    <row r="1060" ht="12.75">
      <c r="S1060" s="1">
        <v>230.156</v>
      </c>
    </row>
    <row r="1061" ht="12.75">
      <c r="S1061" s="1">
        <v>738.96</v>
      </c>
    </row>
    <row r="1062" ht="12.75">
      <c r="S1062" s="1">
        <v>933.464</v>
      </c>
    </row>
    <row r="1063" ht="12.75">
      <c r="S1063" s="1">
        <v>36123.19</v>
      </c>
    </row>
    <row r="1064" ht="12.75">
      <c r="S1064" s="1">
        <v>15475.113</v>
      </c>
    </row>
    <row r="1065" ht="12.75">
      <c r="S1065" s="1">
        <v>120.468</v>
      </c>
    </row>
    <row r="1066" ht="12.75">
      <c r="S1066" s="1">
        <v>7913.647</v>
      </c>
    </row>
    <row r="1067" ht="12.75">
      <c r="S1067" s="1">
        <v>1081.254</v>
      </c>
    </row>
    <row r="1068" ht="12.75">
      <c r="S1068" s="1">
        <v>630.4</v>
      </c>
    </row>
    <row r="1069" ht="12.75">
      <c r="S1069" s="1">
        <v>47.871</v>
      </c>
    </row>
    <row r="1070" ht="12.75">
      <c r="S1070" s="1">
        <v>7271.095</v>
      </c>
    </row>
    <row r="1071" ht="12.75">
      <c r="S1071" s="1">
        <v>671.448</v>
      </c>
    </row>
    <row r="1072" ht="12.75">
      <c r="S1072" s="1">
        <v>7588.942</v>
      </c>
    </row>
    <row r="1073" ht="12.75">
      <c r="S1073" s="1">
        <v>5711.363</v>
      </c>
    </row>
    <row r="1074" ht="12.75">
      <c r="S1074" s="1">
        <v>6665.065</v>
      </c>
    </row>
    <row r="1075" ht="12.75">
      <c r="S1075" s="1">
        <v>9565.993</v>
      </c>
    </row>
    <row r="1076" ht="12.75">
      <c r="S1076" s="1">
        <v>1004667.401</v>
      </c>
    </row>
    <row r="1077" ht="12.75">
      <c r="S1077" s="1">
        <v>173143.742</v>
      </c>
    </row>
    <row r="1078" ht="12.75">
      <c r="S1078" s="1">
        <v>30872.126</v>
      </c>
    </row>
    <row r="1079" ht="12.75">
      <c r="S1079" s="1">
        <v>86177.468</v>
      </c>
    </row>
    <row r="1080" ht="12.75">
      <c r="S1080" s="1">
        <v>7370.171</v>
      </c>
    </row>
    <row r="1081" ht="12.75">
      <c r="S1081" s="1">
        <v>13755.483</v>
      </c>
    </row>
    <row r="1082" ht="12.75">
      <c r="S1082" s="1">
        <v>11593.701</v>
      </c>
    </row>
    <row r="1083" ht="12.75">
      <c r="S1083" s="1">
        <v>212539.699</v>
      </c>
    </row>
    <row r="1084" ht="12.75">
      <c r="S1084" s="1">
        <v>22604.025</v>
      </c>
    </row>
    <row r="1085" ht="12.75">
      <c r="S1085" s="1">
        <v>61987.145</v>
      </c>
    </row>
    <row r="1086" ht="12.75">
      <c r="S1086" s="1">
        <v>197666.524</v>
      </c>
    </row>
    <row r="1087" ht="12.75">
      <c r="S1087" s="1">
        <v>198771.586</v>
      </c>
    </row>
    <row r="1088" ht="12.75">
      <c r="S1088" s="1">
        <v>253.179</v>
      </c>
    </row>
    <row r="1089" ht="12.75">
      <c r="S1089" s="1">
        <v>398.467</v>
      </c>
    </row>
    <row r="1090" ht="12.75">
      <c r="S1090" s="1">
        <v>10.573</v>
      </c>
    </row>
    <row r="1091" ht="12.75">
      <c r="S1091" s="1">
        <v>350.949</v>
      </c>
    </row>
    <row r="1092" ht="12.75">
      <c r="S1092" s="1">
        <v>1441.52</v>
      </c>
    </row>
    <row r="1093" ht="12.75">
      <c r="S1093" s="1">
        <v>10.241</v>
      </c>
    </row>
    <row r="1094" ht="12.75">
      <c r="S1094" s="1">
        <v>85.044</v>
      </c>
    </row>
    <row r="1095" ht="12.75">
      <c r="S1095" s="1">
        <v>2217.323</v>
      </c>
    </row>
    <row r="1096" ht="12.75">
      <c r="S1096" s="1">
        <v>372.892</v>
      </c>
    </row>
    <row r="1097" ht="12.75">
      <c r="S1097" s="1">
        <v>592.538</v>
      </c>
    </row>
    <row r="1098" ht="12.75">
      <c r="S1098" s="1">
        <v>807.532</v>
      </c>
    </row>
    <row r="1099" ht="12.75">
      <c r="S1099" s="13">
        <v>905.135</v>
      </c>
    </row>
    <row r="1100" ht="12.75">
      <c r="S1100" s="1">
        <v>106886.447</v>
      </c>
    </row>
    <row r="1101" ht="12.75">
      <c r="S1101" s="1">
        <v>1521024.583</v>
      </c>
    </row>
    <row r="1102" ht="12.75">
      <c r="S1102" s="1">
        <v>235990.429</v>
      </c>
    </row>
    <row r="1103" ht="12.75">
      <c r="S1103" s="1">
        <v>134990.837</v>
      </c>
    </row>
    <row r="1104" ht="12.75">
      <c r="S1104" s="1">
        <v>141907.521</v>
      </c>
    </row>
    <row r="1105" ht="12.75">
      <c r="S1105" s="1">
        <v>32939.632</v>
      </c>
    </row>
    <row r="1106" ht="12.75">
      <c r="S1106" s="1">
        <v>91870.85</v>
      </c>
    </row>
    <row r="1107" ht="12.75">
      <c r="S1107" s="1">
        <v>5769.432</v>
      </c>
    </row>
    <row r="1108" ht="12.75">
      <c r="S1108" s="1">
        <v>295359.116</v>
      </c>
    </row>
    <row r="1109" ht="12.75">
      <c r="S1109" s="1">
        <v>115614.635</v>
      </c>
    </row>
    <row r="1110" ht="12.75">
      <c r="S1110" s="1">
        <v>92998.849</v>
      </c>
    </row>
    <row r="1111" ht="12.75">
      <c r="S1111" s="1">
        <v>1782454.886</v>
      </c>
    </row>
    <row r="1112" ht="12.75">
      <c r="S1112" s="1">
        <v>116115.912</v>
      </c>
    </row>
    <row r="1113" ht="12.75">
      <c r="S1113" s="1">
        <v>698.358</v>
      </c>
    </row>
    <row r="1114" ht="12.75">
      <c r="S1114" s="1">
        <v>33769.759</v>
      </c>
    </row>
    <row r="1115" ht="12.75">
      <c r="S1115" s="1">
        <v>12205.259</v>
      </c>
    </row>
    <row r="1116" ht="12.75">
      <c r="S1116" s="1">
        <v>427.99</v>
      </c>
    </row>
    <row r="1117" ht="12.75">
      <c r="S1117" s="1">
        <v>1577.022</v>
      </c>
    </row>
    <row r="1118" ht="12.75">
      <c r="S1118" s="1">
        <v>418.201</v>
      </c>
    </row>
    <row r="1119" ht="12.75">
      <c r="S1119" s="1">
        <v>212.475</v>
      </c>
    </row>
    <row r="1120" ht="12.75">
      <c r="S1120" s="1">
        <v>32.83</v>
      </c>
    </row>
    <row r="1121" ht="12.75">
      <c r="S1121" s="1">
        <v>2209.218</v>
      </c>
    </row>
    <row r="1122" ht="12.75">
      <c r="S1122" s="1">
        <v>415.639</v>
      </c>
    </row>
    <row r="1123" ht="12.75">
      <c r="S1123" s="1">
        <v>4370.326</v>
      </c>
    </row>
    <row r="1124" ht="12.75">
      <c r="S1124" s="1">
        <v>719.839</v>
      </c>
    </row>
    <row r="1125" ht="12.75">
      <c r="S1125" s="1">
        <v>3685.933</v>
      </c>
    </row>
    <row r="1126" ht="12.75">
      <c r="S1126" s="1">
        <v>202</v>
      </c>
    </row>
    <row r="1127" ht="12.75">
      <c r="S1127" s="1">
        <v>1819</v>
      </c>
    </row>
    <row r="1128" ht="12.75">
      <c r="S1128" s="1">
        <v>3221</v>
      </c>
    </row>
    <row r="1129" ht="12.75">
      <c r="S1129" s="1">
        <v>95</v>
      </c>
    </row>
    <row r="1130" ht="12.75">
      <c r="S1130" s="1">
        <v>678</v>
      </c>
    </row>
    <row r="1131" ht="12.75">
      <c r="S1131" s="1">
        <v>19</v>
      </c>
    </row>
    <row r="1132" ht="12.75">
      <c r="S1132" s="1">
        <v>7</v>
      </c>
    </row>
    <row r="1133" ht="12.75">
      <c r="S1133" s="1">
        <v>126</v>
      </c>
    </row>
    <row r="1134" ht="12.75">
      <c r="S1134" s="1">
        <v>48</v>
      </c>
    </row>
    <row r="1135" ht="12.75">
      <c r="S1135" s="1">
        <v>198</v>
      </c>
    </row>
    <row r="1136" ht="12.75">
      <c r="S1136" s="1">
        <v>140</v>
      </c>
    </row>
    <row r="1137" ht="12.75">
      <c r="S1137" s="1">
        <v>504</v>
      </c>
    </row>
    <row r="1138" ht="12.75">
      <c r="S1138" s="1">
        <v>2.033</v>
      </c>
    </row>
    <row r="1139" ht="12.75">
      <c r="S1139" s="1">
        <v>10784.653</v>
      </c>
    </row>
    <row r="1140" ht="12.75">
      <c r="S1140" s="1">
        <v>3846.45</v>
      </c>
    </row>
    <row r="1141" ht="12.75">
      <c r="S1141" s="1">
        <v>361.449</v>
      </c>
    </row>
    <row r="1142" ht="12.75">
      <c r="S1142" s="1">
        <v>1411.145</v>
      </c>
    </row>
    <row r="1143" ht="12.75">
      <c r="S1143" s="1">
        <v>49.575</v>
      </c>
    </row>
    <row r="1144" ht="12.75">
      <c r="S1144" s="1">
        <v>106.138</v>
      </c>
    </row>
    <row r="1145" ht="12.75">
      <c r="S1145" s="1">
        <v>27.154</v>
      </c>
    </row>
    <row r="1146" ht="12.75">
      <c r="S1146" s="1">
        <v>296.649</v>
      </c>
    </row>
    <row r="1147" ht="12.75">
      <c r="S1147" s="1">
        <v>384.95</v>
      </c>
    </row>
    <row r="1148" ht="12.75">
      <c r="S1148" s="1">
        <v>215.881</v>
      </c>
    </row>
    <row r="1149" ht="12.75">
      <c r="S1149" s="1">
        <v>40.214</v>
      </c>
    </row>
    <row r="1150" ht="12.75">
      <c r="S1150" s="1">
        <v>933.424</v>
      </c>
    </row>
    <row r="1151" spans="19:21" ht="12.75">
      <c r="S1151" s="1">
        <f>SUM(S1:S1150)</f>
        <v>45910902.935999945</v>
      </c>
      <c r="T1151" s="1">
        <f>SUM(T1:T1150)</f>
        <v>18601401.055</v>
      </c>
      <c r="U1151" s="1">
        <f>SUM(S1151:T1151)</f>
        <v>64512303.990999945</v>
      </c>
    </row>
  </sheetData>
  <mergeCells count="12">
    <mergeCell ref="G3:H3"/>
    <mergeCell ref="G6:H6"/>
    <mergeCell ref="I3:J3"/>
    <mergeCell ref="I4:J4"/>
    <mergeCell ref="I5:J5"/>
    <mergeCell ref="I6:J6"/>
    <mergeCell ref="C3:D3"/>
    <mergeCell ref="C4:D4"/>
    <mergeCell ref="C6:D6"/>
    <mergeCell ref="E3:F3"/>
    <mergeCell ref="E5:F5"/>
    <mergeCell ref="E4:F4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  <headerFooter alignWithMargins="0">
    <oddFooter>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9"/>
  <sheetViews>
    <sheetView workbookViewId="0" topLeftCell="A1">
      <selection activeCell="B52" sqref="B52"/>
    </sheetView>
  </sheetViews>
  <sheetFormatPr defaultColWidth="9.140625" defaultRowHeight="12.75"/>
  <cols>
    <col min="1" max="1" width="4.8515625" style="0" customWidth="1"/>
    <col min="2" max="2" width="33.8515625" style="0" customWidth="1"/>
    <col min="3" max="3" width="11.140625" style="0" customWidth="1"/>
    <col min="4" max="4" width="10.7109375" style="0" customWidth="1"/>
    <col min="5" max="5" width="11.00390625" style="0" customWidth="1"/>
    <col min="6" max="6" width="11.140625" style="0" customWidth="1"/>
    <col min="7" max="7" width="9.57421875" style="0" customWidth="1"/>
    <col min="8" max="8" width="10.140625" style="0" customWidth="1"/>
    <col min="9" max="9" width="10.28125" style="0" customWidth="1"/>
    <col min="10" max="10" width="9.57421875" style="0" customWidth="1"/>
    <col min="11" max="11" width="11.00390625" style="0" customWidth="1"/>
    <col min="12" max="13" width="13.8515625" style="0" hidden="1" customWidth="1"/>
    <col min="14" max="14" width="10.00390625" style="0" customWidth="1"/>
    <col min="15" max="15" width="14.28125" style="0" hidden="1" customWidth="1"/>
    <col min="16" max="16" width="10.57421875" style="0" hidden="1" customWidth="1"/>
    <col min="17" max="17" width="10.57421875" style="0" customWidth="1"/>
    <col min="18" max="19" width="9.140625" style="0" hidden="1" customWidth="1"/>
    <col min="20" max="21" width="10.140625" style="0" customWidth="1"/>
    <col min="22" max="22" width="13.8515625" style="0" hidden="1" customWidth="1"/>
    <col min="23" max="23" width="24.7109375" style="0" hidden="1" customWidth="1"/>
    <col min="24" max="24" width="20.421875" style="0" hidden="1" customWidth="1"/>
    <col min="25" max="25" width="10.57421875" style="0" customWidth="1"/>
    <col min="26" max="26" width="15.421875" style="0" hidden="1" customWidth="1"/>
    <col min="27" max="27" width="11.140625" style="0" hidden="1" customWidth="1"/>
    <col min="28" max="28" width="9.28125" style="0" customWidth="1"/>
    <col min="29" max="29" width="11.421875" style="99" hidden="1" customWidth="1"/>
    <col min="30" max="30" width="23.28125" style="0" hidden="1" customWidth="1"/>
  </cols>
  <sheetData>
    <row r="1" spans="1:3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2"/>
      <c r="T1" s="21"/>
      <c r="U1" s="21"/>
      <c r="V1" s="21"/>
      <c r="W1" s="21"/>
      <c r="X1" s="21"/>
      <c r="Y1" s="21"/>
      <c r="Z1" s="21"/>
      <c r="AA1" s="21"/>
      <c r="AB1" s="21"/>
      <c r="AC1" s="94"/>
      <c r="AD1" s="21"/>
      <c r="AE1" s="21"/>
    </row>
    <row r="2" spans="1:31" ht="15.75">
      <c r="A2" s="21"/>
      <c r="B2" s="199" t="s">
        <v>383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94"/>
      <c r="AD2" s="21"/>
      <c r="AE2" s="21"/>
    </row>
    <row r="3" spans="1:31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21"/>
      <c r="U3" s="21"/>
      <c r="V3" s="21"/>
      <c r="W3" s="21"/>
      <c r="X3" s="21"/>
      <c r="Y3" s="21"/>
      <c r="Z3" s="21"/>
      <c r="AA3" s="21"/>
      <c r="AB3" s="21"/>
      <c r="AC3" s="94"/>
      <c r="AD3" s="21"/>
      <c r="AE3" s="21"/>
    </row>
    <row r="4" spans="1:31" ht="15" customHeight="1" hidden="1" thickBot="1">
      <c r="A4" s="21"/>
      <c r="B4" s="92"/>
      <c r="C4" s="79" t="s">
        <v>256</v>
      </c>
      <c r="D4" s="113" t="s">
        <v>118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14"/>
      <c r="U4" s="114"/>
      <c r="V4" s="114"/>
      <c r="W4" s="114"/>
      <c r="X4" s="114"/>
      <c r="Y4" s="114"/>
      <c r="Z4" s="114"/>
      <c r="AA4" s="114"/>
      <c r="AB4" s="80" t="s">
        <v>119</v>
      </c>
      <c r="AC4" s="105" t="s">
        <v>120</v>
      </c>
      <c r="AD4" s="21"/>
      <c r="AE4" s="21"/>
    </row>
    <row r="5" spans="1:48" ht="15.75" hidden="1" thickBot="1">
      <c r="A5" s="21"/>
      <c r="B5" s="84" t="s">
        <v>52</v>
      </c>
      <c r="C5" s="86" t="s">
        <v>351</v>
      </c>
      <c r="D5" s="116" t="s">
        <v>121</v>
      </c>
      <c r="E5" s="80" t="s">
        <v>122</v>
      </c>
      <c r="F5" s="79" t="s">
        <v>123</v>
      </c>
      <c r="G5" s="79" t="s">
        <v>124</v>
      </c>
      <c r="H5" s="79" t="s">
        <v>125</v>
      </c>
      <c r="I5" s="79" t="s">
        <v>126</v>
      </c>
      <c r="J5" s="80" t="s">
        <v>127</v>
      </c>
      <c r="K5" s="80" t="s">
        <v>128</v>
      </c>
      <c r="L5" s="80" t="s">
        <v>128</v>
      </c>
      <c r="M5" s="80" t="s">
        <v>129</v>
      </c>
      <c r="N5" s="80" t="s">
        <v>130</v>
      </c>
      <c r="O5" s="80" t="s">
        <v>131</v>
      </c>
      <c r="P5" s="80" t="s">
        <v>97</v>
      </c>
      <c r="Q5" s="80" t="s">
        <v>132</v>
      </c>
      <c r="R5" s="80" t="s">
        <v>133</v>
      </c>
      <c r="S5" s="117" t="s">
        <v>76</v>
      </c>
      <c r="T5" s="80" t="s">
        <v>134</v>
      </c>
      <c r="U5" s="80" t="s">
        <v>135</v>
      </c>
      <c r="V5" s="118" t="s">
        <v>136</v>
      </c>
      <c r="W5" s="80" t="s">
        <v>137</v>
      </c>
      <c r="X5" s="80" t="s">
        <v>77</v>
      </c>
      <c r="Y5" s="80" t="s">
        <v>138</v>
      </c>
      <c r="Z5" s="80"/>
      <c r="AA5" s="80" t="s">
        <v>139</v>
      </c>
      <c r="AB5" s="87"/>
      <c r="AC5" s="88"/>
      <c r="AD5" s="119" t="s">
        <v>120</v>
      </c>
      <c r="AE5" s="85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22"/>
    </row>
    <row r="6" spans="1:48" ht="13.5" hidden="1" thickBot="1">
      <c r="A6" s="21"/>
      <c r="B6" s="88" t="s">
        <v>140</v>
      </c>
      <c r="C6" s="83" t="s">
        <v>194</v>
      </c>
      <c r="D6" s="123" t="s">
        <v>141</v>
      </c>
      <c r="E6" s="83"/>
      <c r="F6" s="82"/>
      <c r="G6" s="82"/>
      <c r="H6" s="82"/>
      <c r="I6" s="82" t="s">
        <v>142</v>
      </c>
      <c r="J6" s="83"/>
      <c r="K6" s="83"/>
      <c r="L6" s="83"/>
      <c r="M6" s="83" t="s">
        <v>143</v>
      </c>
      <c r="N6" s="83" t="s">
        <v>97</v>
      </c>
      <c r="O6" s="83"/>
      <c r="P6" s="83"/>
      <c r="Q6" s="86" t="s">
        <v>144</v>
      </c>
      <c r="R6" s="83"/>
      <c r="S6" s="124"/>
      <c r="T6" s="83"/>
      <c r="U6" s="86" t="s">
        <v>145</v>
      </c>
      <c r="V6" s="125" t="s">
        <v>146</v>
      </c>
      <c r="W6" s="83" t="s">
        <v>147</v>
      </c>
      <c r="X6" s="83" t="s">
        <v>148</v>
      </c>
      <c r="Y6" s="83" t="s">
        <v>149</v>
      </c>
      <c r="Z6" s="83"/>
      <c r="AA6" s="83"/>
      <c r="AB6" s="83"/>
      <c r="AC6" s="83"/>
      <c r="AD6" s="85"/>
      <c r="AE6" s="85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2"/>
      <c r="AV6" s="122"/>
    </row>
    <row r="7" spans="1:48" ht="13.5" hidden="1" thickBot="1">
      <c r="A7" s="21"/>
      <c r="B7" s="88"/>
      <c r="C7" s="110"/>
      <c r="D7" s="126"/>
      <c r="E7" s="110"/>
      <c r="F7" s="38"/>
      <c r="G7" s="38"/>
      <c r="H7" s="38"/>
      <c r="I7" s="38"/>
      <c r="J7" s="110"/>
      <c r="K7" s="110"/>
      <c r="L7" s="110"/>
      <c r="M7" s="110"/>
      <c r="N7" s="110"/>
      <c r="O7" s="110"/>
      <c r="P7" s="110"/>
      <c r="Q7" s="83" t="s">
        <v>76</v>
      </c>
      <c r="R7" s="110"/>
      <c r="S7" s="127"/>
      <c r="T7" s="110"/>
      <c r="U7" s="83" t="s">
        <v>80</v>
      </c>
      <c r="V7" s="128"/>
      <c r="W7" s="110"/>
      <c r="X7" s="110"/>
      <c r="Y7" s="110"/>
      <c r="Z7" s="110"/>
      <c r="AA7" s="110"/>
      <c r="AB7" s="110"/>
      <c r="AC7" s="110"/>
      <c r="AD7" s="38"/>
      <c r="AE7" s="38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</row>
    <row r="8" spans="1:31" ht="13.5" hidden="1" thickBot="1">
      <c r="A8" s="21"/>
      <c r="B8" s="88" t="s">
        <v>150</v>
      </c>
      <c r="C8" s="132">
        <v>4401</v>
      </c>
      <c r="D8" s="129">
        <v>7</v>
      </c>
      <c r="E8" s="90" t="s">
        <v>19</v>
      </c>
      <c r="F8" s="89">
        <v>4</v>
      </c>
      <c r="G8" s="89" t="s">
        <v>19</v>
      </c>
      <c r="H8" s="89">
        <v>6</v>
      </c>
      <c r="I8" s="21">
        <v>8</v>
      </c>
      <c r="J8" s="87">
        <v>5</v>
      </c>
      <c r="K8" s="87">
        <f aca="true" t="shared" si="0" ref="K8:K24">SUM(L8:M8)</f>
        <v>90</v>
      </c>
      <c r="L8" s="87">
        <v>83</v>
      </c>
      <c r="M8" s="87">
        <v>7</v>
      </c>
      <c r="N8" s="130">
        <f>SUM(O8:P8)</f>
        <v>387</v>
      </c>
      <c r="O8" s="87">
        <v>274</v>
      </c>
      <c r="P8" s="87">
        <v>113</v>
      </c>
      <c r="Q8" s="87">
        <f aca="true" t="shared" si="1" ref="Q8:Q24">SUM(R8:S8)</f>
        <v>353</v>
      </c>
      <c r="R8" s="87">
        <v>318</v>
      </c>
      <c r="S8" s="131">
        <v>35</v>
      </c>
      <c r="T8" s="87">
        <v>6</v>
      </c>
      <c r="U8" s="87">
        <f>SUM(V8:X8)</f>
        <v>317</v>
      </c>
      <c r="V8" s="97">
        <v>35</v>
      </c>
      <c r="W8" s="87">
        <v>128</v>
      </c>
      <c r="X8" s="87">
        <v>154</v>
      </c>
      <c r="Y8" s="87">
        <v>941</v>
      </c>
      <c r="Z8" s="87">
        <f>SUM(D8:Y8)</f>
        <v>3271</v>
      </c>
      <c r="AA8" s="132">
        <f aca="true" t="shared" si="2" ref="AA8:AA22">C8-SUM(Y8,U8,T8,Q8,N8,K8,D8:J8)</f>
        <v>2277</v>
      </c>
      <c r="AB8" s="87">
        <v>15494</v>
      </c>
      <c r="AC8" s="88">
        <v>19865</v>
      </c>
      <c r="AD8" s="21">
        <v>19895</v>
      </c>
      <c r="AE8" s="21"/>
    </row>
    <row r="9" spans="1:32" ht="13.5" hidden="1" thickBot="1">
      <c r="A9" s="21"/>
      <c r="B9" s="88" t="s">
        <v>151</v>
      </c>
      <c r="C9" s="132">
        <v>56500</v>
      </c>
      <c r="D9" s="129">
        <v>6</v>
      </c>
      <c r="E9" s="87">
        <v>133</v>
      </c>
      <c r="F9" s="21">
        <v>1188</v>
      </c>
      <c r="G9" s="21">
        <v>30</v>
      </c>
      <c r="H9" s="21">
        <v>387</v>
      </c>
      <c r="I9" s="21">
        <v>8</v>
      </c>
      <c r="J9" s="87">
        <v>18</v>
      </c>
      <c r="K9" s="87">
        <f t="shared" si="0"/>
        <v>795</v>
      </c>
      <c r="L9" s="87">
        <v>785</v>
      </c>
      <c r="M9" s="87">
        <v>10</v>
      </c>
      <c r="N9" s="130">
        <f>SUM(O9:P9)</f>
        <v>6219</v>
      </c>
      <c r="O9" s="87">
        <v>5620</v>
      </c>
      <c r="P9" s="87">
        <v>599</v>
      </c>
      <c r="Q9" s="87">
        <f t="shared" si="1"/>
        <v>5049</v>
      </c>
      <c r="R9" s="87">
        <v>3506</v>
      </c>
      <c r="S9" s="131">
        <v>1543</v>
      </c>
      <c r="T9" s="87">
        <v>2223</v>
      </c>
      <c r="U9" s="87">
        <f>SUM(V9:X9)</f>
        <v>5453</v>
      </c>
      <c r="V9" s="97">
        <v>1039</v>
      </c>
      <c r="W9" s="87">
        <v>1963</v>
      </c>
      <c r="X9" s="87">
        <v>2451</v>
      </c>
      <c r="Y9" s="87">
        <v>9352</v>
      </c>
      <c r="Z9" s="87">
        <f>SUM(D9:Y9)</f>
        <v>48377</v>
      </c>
      <c r="AA9" s="132">
        <f t="shared" si="2"/>
        <v>25639</v>
      </c>
      <c r="AB9" s="87">
        <v>24702</v>
      </c>
      <c r="AC9" s="88">
        <v>81202</v>
      </c>
      <c r="AD9" s="21">
        <v>81202</v>
      </c>
      <c r="AE9" s="21"/>
      <c r="AF9">
        <v>-1415</v>
      </c>
    </row>
    <row r="10" spans="1:32" ht="13.5" hidden="1" thickBot="1">
      <c r="A10" s="21"/>
      <c r="B10" s="88" t="s">
        <v>152</v>
      </c>
      <c r="C10" s="132">
        <v>95074</v>
      </c>
      <c r="D10" s="129">
        <v>229</v>
      </c>
      <c r="E10" s="87">
        <v>1770</v>
      </c>
      <c r="F10" s="21">
        <v>601</v>
      </c>
      <c r="G10" s="21">
        <v>136</v>
      </c>
      <c r="H10" s="21">
        <v>210</v>
      </c>
      <c r="I10" s="21">
        <v>245</v>
      </c>
      <c r="J10" s="87">
        <v>162</v>
      </c>
      <c r="K10" s="87">
        <f t="shared" si="0"/>
        <v>28233</v>
      </c>
      <c r="L10" s="87">
        <v>27769</v>
      </c>
      <c r="M10" s="87">
        <v>464</v>
      </c>
      <c r="N10" s="130">
        <f>SUM(O10:P10)</f>
        <v>13661</v>
      </c>
      <c r="O10" s="87">
        <v>8677</v>
      </c>
      <c r="P10" s="87">
        <v>4984</v>
      </c>
      <c r="Q10" s="87">
        <f t="shared" si="1"/>
        <v>9367</v>
      </c>
      <c r="R10" s="87">
        <v>5192</v>
      </c>
      <c r="S10" s="131">
        <v>4175</v>
      </c>
      <c r="T10" s="87">
        <v>312</v>
      </c>
      <c r="U10" s="87">
        <f>SUM(V10:X10)</f>
        <v>9877</v>
      </c>
      <c r="V10" s="97">
        <v>2385</v>
      </c>
      <c r="W10" s="87">
        <v>3019</v>
      </c>
      <c r="X10" s="87">
        <v>4473</v>
      </c>
      <c r="Y10" s="87">
        <v>2117</v>
      </c>
      <c r="Z10" s="87">
        <f>SUM(D10:Y10)</f>
        <v>128058</v>
      </c>
      <c r="AA10" s="132">
        <f t="shared" si="2"/>
        <v>28154</v>
      </c>
      <c r="AB10" s="87">
        <v>110867</v>
      </c>
      <c r="AC10" s="88">
        <v>205941</v>
      </c>
      <c r="AD10" s="21">
        <v>205941</v>
      </c>
      <c r="AE10" s="21"/>
      <c r="AF10">
        <v>-40978</v>
      </c>
    </row>
    <row r="11" spans="1:32" ht="13.5" hidden="1" thickBot="1">
      <c r="A11" s="21"/>
      <c r="B11" s="88" t="s">
        <v>153</v>
      </c>
      <c r="C11" s="132">
        <v>835</v>
      </c>
      <c r="D11" s="129" t="s">
        <v>19</v>
      </c>
      <c r="E11" s="129" t="s">
        <v>19</v>
      </c>
      <c r="F11" s="129" t="s">
        <v>19</v>
      </c>
      <c r="G11" s="129" t="s">
        <v>19</v>
      </c>
      <c r="H11" s="129" t="s">
        <v>19</v>
      </c>
      <c r="I11" s="129" t="s">
        <v>19</v>
      </c>
      <c r="J11" s="129" t="s">
        <v>19</v>
      </c>
      <c r="K11" s="87">
        <f t="shared" si="0"/>
        <v>687</v>
      </c>
      <c r="L11" s="87">
        <v>81</v>
      </c>
      <c r="M11" s="87">
        <v>606</v>
      </c>
      <c r="N11" s="133" t="s">
        <v>19</v>
      </c>
      <c r="O11" s="129" t="s">
        <v>19</v>
      </c>
      <c r="P11" s="129" t="s">
        <v>19</v>
      </c>
      <c r="Q11" s="87">
        <f t="shared" si="1"/>
        <v>0</v>
      </c>
      <c r="R11" s="129" t="s">
        <v>19</v>
      </c>
      <c r="S11" s="129" t="s">
        <v>19</v>
      </c>
      <c r="T11" s="87">
        <v>148</v>
      </c>
      <c r="U11" s="87" t="s">
        <v>19</v>
      </c>
      <c r="V11" s="129" t="s">
        <v>19</v>
      </c>
      <c r="W11" s="129" t="s">
        <v>19</v>
      </c>
      <c r="X11" s="129" t="s">
        <v>19</v>
      </c>
      <c r="Y11" s="129" t="s">
        <v>19</v>
      </c>
      <c r="Z11" s="87"/>
      <c r="AA11" s="132">
        <f t="shared" si="2"/>
        <v>0</v>
      </c>
      <c r="AB11" s="87">
        <v>1839</v>
      </c>
      <c r="AC11" s="88">
        <v>2674</v>
      </c>
      <c r="AD11" s="21"/>
      <c r="AE11" s="21"/>
      <c r="AF11">
        <v>-88</v>
      </c>
    </row>
    <row r="12" spans="1:32" ht="13.5" hidden="1" thickBot="1">
      <c r="A12" s="21"/>
      <c r="B12" s="88" t="s">
        <v>154</v>
      </c>
      <c r="C12" s="132">
        <v>280569</v>
      </c>
      <c r="D12" s="129">
        <v>4931</v>
      </c>
      <c r="E12" s="87">
        <v>18148</v>
      </c>
      <c r="F12" s="21">
        <v>22495</v>
      </c>
      <c r="G12" s="21">
        <v>2947</v>
      </c>
      <c r="H12" s="21">
        <v>3970</v>
      </c>
      <c r="I12" s="21">
        <v>6631</v>
      </c>
      <c r="J12" s="87">
        <v>12404</v>
      </c>
      <c r="K12" s="87">
        <f t="shared" si="0"/>
        <v>1893</v>
      </c>
      <c r="L12" s="87">
        <v>1798</v>
      </c>
      <c r="M12" s="87">
        <v>95</v>
      </c>
      <c r="N12" s="130">
        <f aca="true" t="shared" si="3" ref="N12:N24">SUM(O12:P12)</f>
        <v>16815</v>
      </c>
      <c r="O12" s="87">
        <v>14446</v>
      </c>
      <c r="P12" s="87">
        <v>2369</v>
      </c>
      <c r="Q12" s="87">
        <f t="shared" si="1"/>
        <v>2477</v>
      </c>
      <c r="R12" s="87">
        <v>1813</v>
      </c>
      <c r="S12" s="131">
        <v>664</v>
      </c>
      <c r="T12" s="87">
        <v>266</v>
      </c>
      <c r="U12" s="87">
        <f aca="true" t="shared" si="4" ref="U12:U24">SUM(V12:X12)</f>
        <v>7781</v>
      </c>
      <c r="V12" s="97">
        <v>2713</v>
      </c>
      <c r="W12" s="87">
        <v>1233</v>
      </c>
      <c r="X12" s="87">
        <v>3835</v>
      </c>
      <c r="Y12" s="87">
        <v>2971</v>
      </c>
      <c r="Z12" s="87">
        <f aca="true" t="shared" si="5" ref="Z12:Z21">SUM(D12:Y12)</f>
        <v>132695</v>
      </c>
      <c r="AA12" s="132">
        <f t="shared" si="2"/>
        <v>176840</v>
      </c>
      <c r="AB12" s="87">
        <v>288401</v>
      </c>
      <c r="AC12" s="88">
        <v>568970</v>
      </c>
      <c r="AD12" s="21">
        <v>568970</v>
      </c>
      <c r="AE12" s="21"/>
      <c r="AF12">
        <v>-190</v>
      </c>
    </row>
    <row r="13" spans="1:32" ht="13.5" hidden="1" thickBot="1">
      <c r="A13" s="21"/>
      <c r="B13" s="88" t="s">
        <v>155</v>
      </c>
      <c r="C13" s="132">
        <v>39882</v>
      </c>
      <c r="D13" s="134" t="s">
        <v>19</v>
      </c>
      <c r="E13" s="87">
        <v>18381</v>
      </c>
      <c r="F13" s="21">
        <v>759</v>
      </c>
      <c r="G13" s="21">
        <v>12</v>
      </c>
      <c r="H13" s="21">
        <v>46</v>
      </c>
      <c r="I13" s="21">
        <v>16</v>
      </c>
      <c r="J13" s="87">
        <v>47</v>
      </c>
      <c r="K13" s="87">
        <f t="shared" si="0"/>
        <v>77</v>
      </c>
      <c r="L13" s="87">
        <v>69</v>
      </c>
      <c r="M13" s="87">
        <v>8</v>
      </c>
      <c r="N13" s="130">
        <f t="shared" si="3"/>
        <v>3404</v>
      </c>
      <c r="O13" s="87">
        <v>1492</v>
      </c>
      <c r="P13" s="87">
        <v>1912</v>
      </c>
      <c r="Q13" s="87">
        <f t="shared" si="1"/>
        <v>249</v>
      </c>
      <c r="R13" s="87">
        <v>132</v>
      </c>
      <c r="S13" s="131">
        <v>117</v>
      </c>
      <c r="T13" s="87">
        <v>18</v>
      </c>
      <c r="U13" s="87">
        <f t="shared" si="4"/>
        <v>786</v>
      </c>
      <c r="V13" s="97">
        <v>28</v>
      </c>
      <c r="W13" s="87">
        <v>63</v>
      </c>
      <c r="X13" s="87">
        <v>695</v>
      </c>
      <c r="Y13" s="87">
        <v>326</v>
      </c>
      <c r="Z13" s="87">
        <f t="shared" si="5"/>
        <v>28637</v>
      </c>
      <c r="AA13" s="132">
        <f t="shared" si="2"/>
        <v>15761</v>
      </c>
      <c r="AB13" s="87">
        <v>486296</v>
      </c>
      <c r="AC13" s="88">
        <v>526178</v>
      </c>
      <c r="AD13" s="21">
        <v>526178</v>
      </c>
      <c r="AE13" s="21"/>
      <c r="AF13">
        <v>-7358</v>
      </c>
    </row>
    <row r="14" spans="1:32" ht="13.5" hidden="1" thickBot="1">
      <c r="A14" s="21"/>
      <c r="B14" s="88" t="s">
        <v>133</v>
      </c>
      <c r="C14" s="132">
        <v>163754</v>
      </c>
      <c r="D14" s="129">
        <v>466</v>
      </c>
      <c r="E14" s="87">
        <v>2934</v>
      </c>
      <c r="F14" s="21">
        <v>2676</v>
      </c>
      <c r="G14" s="21">
        <v>453</v>
      </c>
      <c r="H14" s="21">
        <v>483</v>
      </c>
      <c r="I14" s="21">
        <v>484</v>
      </c>
      <c r="J14" s="87">
        <v>1013</v>
      </c>
      <c r="K14" s="87">
        <f t="shared" si="0"/>
        <v>2466</v>
      </c>
      <c r="L14" s="87">
        <v>2218</v>
      </c>
      <c r="M14" s="87">
        <v>248</v>
      </c>
      <c r="N14" s="130">
        <f t="shared" si="3"/>
        <v>15147</v>
      </c>
      <c r="O14" s="87">
        <v>6384</v>
      </c>
      <c r="P14" s="87">
        <v>8763</v>
      </c>
      <c r="Q14" s="87">
        <f t="shared" si="1"/>
        <v>70664</v>
      </c>
      <c r="R14" s="87">
        <v>59978</v>
      </c>
      <c r="S14" s="131">
        <v>10686</v>
      </c>
      <c r="T14" s="87">
        <v>176</v>
      </c>
      <c r="U14" s="87">
        <f t="shared" si="4"/>
        <v>6762</v>
      </c>
      <c r="V14" s="97">
        <v>996</v>
      </c>
      <c r="W14" s="87">
        <v>2711</v>
      </c>
      <c r="X14" s="87">
        <v>3055</v>
      </c>
      <c r="Y14" s="87">
        <v>2664</v>
      </c>
      <c r="Z14" s="87">
        <f t="shared" si="5"/>
        <v>201427</v>
      </c>
      <c r="AA14" s="132">
        <f t="shared" si="2"/>
        <v>57366</v>
      </c>
      <c r="AB14" s="87">
        <v>227020</v>
      </c>
      <c r="AC14" s="88">
        <v>390441</v>
      </c>
      <c r="AD14" s="21">
        <v>390774</v>
      </c>
      <c r="AE14" s="21"/>
      <c r="AF14">
        <v>-3798</v>
      </c>
    </row>
    <row r="15" spans="1:32" ht="13.5" hidden="1" thickBot="1">
      <c r="A15" s="21"/>
      <c r="B15" s="88" t="s">
        <v>76</v>
      </c>
      <c r="C15" s="132">
        <v>90095</v>
      </c>
      <c r="D15" s="129">
        <v>311</v>
      </c>
      <c r="E15" s="87">
        <v>2710</v>
      </c>
      <c r="F15" s="21">
        <v>677</v>
      </c>
      <c r="G15" s="21">
        <v>93</v>
      </c>
      <c r="H15" s="21">
        <v>85</v>
      </c>
      <c r="I15" s="21">
        <v>82</v>
      </c>
      <c r="J15" s="87">
        <v>225</v>
      </c>
      <c r="K15" s="87">
        <f t="shared" si="0"/>
        <v>504</v>
      </c>
      <c r="L15" s="87">
        <v>338</v>
      </c>
      <c r="M15" s="87">
        <v>166</v>
      </c>
      <c r="N15" s="130">
        <f t="shared" si="3"/>
        <v>2498</v>
      </c>
      <c r="O15" s="87">
        <v>917</v>
      </c>
      <c r="P15" s="87">
        <v>1581</v>
      </c>
      <c r="Q15" s="87">
        <f t="shared" si="1"/>
        <v>65733</v>
      </c>
      <c r="R15" s="87">
        <v>1267</v>
      </c>
      <c r="S15" s="131">
        <v>64466</v>
      </c>
      <c r="T15" s="87">
        <v>35</v>
      </c>
      <c r="U15" s="87">
        <f t="shared" si="4"/>
        <v>1028</v>
      </c>
      <c r="V15" s="97">
        <v>93</v>
      </c>
      <c r="W15" s="87">
        <v>290</v>
      </c>
      <c r="X15" s="87">
        <v>645</v>
      </c>
      <c r="Y15" s="87">
        <v>522</v>
      </c>
      <c r="Z15" s="87">
        <f t="shared" si="5"/>
        <v>144266</v>
      </c>
      <c r="AA15" s="132">
        <f t="shared" si="2"/>
        <v>15592</v>
      </c>
      <c r="AB15" s="87">
        <v>141559</v>
      </c>
      <c r="AC15" s="88">
        <v>231654</v>
      </c>
      <c r="AD15" s="21">
        <v>231654</v>
      </c>
      <c r="AE15" s="21"/>
      <c r="AF15">
        <v>-2102</v>
      </c>
    </row>
    <row r="16" spans="1:32" ht="13.5" hidden="1" thickBot="1">
      <c r="A16" s="21"/>
      <c r="B16" s="88" t="s">
        <v>156</v>
      </c>
      <c r="C16" s="132">
        <v>83729</v>
      </c>
      <c r="D16" s="129">
        <v>53</v>
      </c>
      <c r="E16" s="87">
        <v>340</v>
      </c>
      <c r="F16" s="21">
        <v>676</v>
      </c>
      <c r="G16" s="21">
        <v>96</v>
      </c>
      <c r="H16" s="21">
        <v>156</v>
      </c>
      <c r="I16" s="21">
        <v>560</v>
      </c>
      <c r="J16" s="87">
        <v>128</v>
      </c>
      <c r="K16" s="87">
        <f t="shared" si="0"/>
        <v>3269</v>
      </c>
      <c r="L16" s="87">
        <v>2845</v>
      </c>
      <c r="M16" s="87">
        <v>424</v>
      </c>
      <c r="N16" s="130">
        <f t="shared" si="3"/>
        <v>11160</v>
      </c>
      <c r="O16" s="87">
        <v>7733</v>
      </c>
      <c r="P16" s="87">
        <v>3427</v>
      </c>
      <c r="Q16" s="87">
        <f t="shared" si="1"/>
        <v>14986</v>
      </c>
      <c r="R16" s="87">
        <v>12745</v>
      </c>
      <c r="S16" s="131">
        <v>2241</v>
      </c>
      <c r="T16" s="87">
        <v>249</v>
      </c>
      <c r="U16" s="87">
        <f t="shared" si="4"/>
        <v>20682</v>
      </c>
      <c r="V16" s="97">
        <v>9273</v>
      </c>
      <c r="W16" s="87">
        <v>6149</v>
      </c>
      <c r="X16" s="87">
        <v>5260</v>
      </c>
      <c r="Y16" s="87">
        <v>4257</v>
      </c>
      <c r="Z16" s="87">
        <f t="shared" si="5"/>
        <v>106709</v>
      </c>
      <c r="AA16" s="132">
        <f t="shared" si="2"/>
        <v>27117</v>
      </c>
      <c r="AB16" s="87">
        <v>34309</v>
      </c>
      <c r="AC16" s="88">
        <v>118038</v>
      </c>
      <c r="AD16" s="21">
        <v>118038</v>
      </c>
      <c r="AE16" s="21"/>
      <c r="AF16">
        <v>-44964</v>
      </c>
    </row>
    <row r="17" spans="1:32" ht="13.5" hidden="1" thickBot="1">
      <c r="A17" s="21"/>
      <c r="B17" s="88" t="s">
        <v>157</v>
      </c>
      <c r="C17" s="132">
        <v>179136</v>
      </c>
      <c r="D17" s="129">
        <v>60</v>
      </c>
      <c r="E17" s="87">
        <v>31394</v>
      </c>
      <c r="F17" s="21">
        <v>1172</v>
      </c>
      <c r="G17" s="21">
        <v>171</v>
      </c>
      <c r="H17" s="21">
        <v>1730</v>
      </c>
      <c r="I17" s="21">
        <v>603</v>
      </c>
      <c r="J17" s="87">
        <v>1204</v>
      </c>
      <c r="K17" s="87">
        <f t="shared" si="0"/>
        <v>6596</v>
      </c>
      <c r="L17" s="87">
        <v>6160</v>
      </c>
      <c r="M17" s="87">
        <v>436</v>
      </c>
      <c r="N17" s="130">
        <f t="shared" si="3"/>
        <v>12159</v>
      </c>
      <c r="O17" s="87">
        <v>6873</v>
      </c>
      <c r="P17" s="87">
        <v>5286</v>
      </c>
      <c r="Q17" s="87">
        <f t="shared" si="1"/>
        <v>19000</v>
      </c>
      <c r="R17" s="87">
        <v>11258</v>
      </c>
      <c r="S17" s="131">
        <v>7742</v>
      </c>
      <c r="T17" s="87">
        <v>1117</v>
      </c>
      <c r="U17" s="87">
        <f t="shared" si="4"/>
        <v>27616</v>
      </c>
      <c r="V17" s="97">
        <v>1807</v>
      </c>
      <c r="W17" s="87">
        <v>19336</v>
      </c>
      <c r="X17" s="87">
        <v>6473</v>
      </c>
      <c r="Y17" s="87">
        <v>3221</v>
      </c>
      <c r="Z17" s="87">
        <f t="shared" si="5"/>
        <v>171414</v>
      </c>
      <c r="AA17" s="132">
        <f t="shared" si="2"/>
        <v>73093</v>
      </c>
      <c r="AB17" s="87">
        <v>73461</v>
      </c>
      <c r="AC17" s="88">
        <v>252597</v>
      </c>
      <c r="AD17" s="21">
        <v>252597</v>
      </c>
      <c r="AE17" s="21"/>
      <c r="AF17">
        <v>-4972</v>
      </c>
    </row>
    <row r="18" spans="1:32" ht="13.5" hidden="1" thickBot="1">
      <c r="A18" s="21"/>
      <c r="B18" s="88" t="s">
        <v>158</v>
      </c>
      <c r="C18" s="132">
        <v>271050</v>
      </c>
      <c r="D18" s="129">
        <v>430</v>
      </c>
      <c r="E18" s="87">
        <v>13343</v>
      </c>
      <c r="F18" s="21">
        <v>4067</v>
      </c>
      <c r="G18" s="21">
        <v>3071</v>
      </c>
      <c r="H18" s="21">
        <v>1530</v>
      </c>
      <c r="I18" s="21">
        <v>727</v>
      </c>
      <c r="J18" s="87">
        <v>1042</v>
      </c>
      <c r="K18" s="87">
        <f t="shared" si="0"/>
        <v>4785</v>
      </c>
      <c r="L18" s="87">
        <v>4008</v>
      </c>
      <c r="M18" s="87">
        <v>777</v>
      </c>
      <c r="N18" s="130">
        <f t="shared" si="3"/>
        <v>42792</v>
      </c>
      <c r="O18" s="87">
        <v>24355</v>
      </c>
      <c r="P18" s="87">
        <v>18437</v>
      </c>
      <c r="Q18" s="87">
        <f t="shared" si="1"/>
        <v>25243</v>
      </c>
      <c r="R18" s="87">
        <v>16395</v>
      </c>
      <c r="S18" s="131">
        <v>8848</v>
      </c>
      <c r="T18" s="87">
        <v>2454</v>
      </c>
      <c r="U18" s="87">
        <f t="shared" si="4"/>
        <v>42863</v>
      </c>
      <c r="V18" s="97">
        <v>3636</v>
      </c>
      <c r="W18" s="87">
        <v>21105</v>
      </c>
      <c r="X18" s="87">
        <v>18122</v>
      </c>
      <c r="Y18" s="87">
        <v>11216</v>
      </c>
      <c r="Z18" s="87">
        <f t="shared" si="5"/>
        <v>269246</v>
      </c>
      <c r="AA18" s="132">
        <f t="shared" si="2"/>
        <v>117487</v>
      </c>
      <c r="AB18" s="87">
        <v>61335</v>
      </c>
      <c r="AC18" s="88">
        <v>332385</v>
      </c>
      <c r="AD18" s="21">
        <v>332385</v>
      </c>
      <c r="AE18" s="21"/>
      <c r="AF18">
        <v>-7982</v>
      </c>
    </row>
    <row r="19" spans="1:32" ht="13.5" hidden="1" thickBot="1">
      <c r="A19" s="21"/>
      <c r="B19" s="88" t="s">
        <v>134</v>
      </c>
      <c r="C19" s="132">
        <v>136364</v>
      </c>
      <c r="D19" s="129">
        <v>11</v>
      </c>
      <c r="E19" s="87">
        <v>343</v>
      </c>
      <c r="F19" s="21">
        <v>10554</v>
      </c>
      <c r="G19" s="21">
        <v>764</v>
      </c>
      <c r="H19" s="21">
        <v>3715</v>
      </c>
      <c r="I19" s="21">
        <v>613</v>
      </c>
      <c r="J19" s="87">
        <v>683</v>
      </c>
      <c r="K19" s="87">
        <f t="shared" si="0"/>
        <v>4117</v>
      </c>
      <c r="L19" s="87">
        <v>3286</v>
      </c>
      <c r="M19" s="87">
        <v>831</v>
      </c>
      <c r="N19" s="130">
        <f t="shared" si="3"/>
        <v>40913</v>
      </c>
      <c r="O19" s="87">
        <v>14423</v>
      </c>
      <c r="P19" s="87">
        <v>26490</v>
      </c>
      <c r="Q19" s="87">
        <f t="shared" si="1"/>
        <v>10156</v>
      </c>
      <c r="R19" s="87">
        <v>7426</v>
      </c>
      <c r="S19" s="131">
        <v>2730</v>
      </c>
      <c r="T19" s="87">
        <v>181</v>
      </c>
      <c r="U19" s="87">
        <f t="shared" si="4"/>
        <v>4826</v>
      </c>
      <c r="V19" s="97">
        <v>1084</v>
      </c>
      <c r="W19" s="87">
        <v>924</v>
      </c>
      <c r="X19" s="87">
        <v>2818</v>
      </c>
      <c r="Y19" s="87">
        <v>5736</v>
      </c>
      <c r="Z19" s="87">
        <f t="shared" si="5"/>
        <v>142624</v>
      </c>
      <c r="AA19" s="132">
        <f t="shared" si="2"/>
        <v>53752</v>
      </c>
      <c r="AB19" s="87">
        <v>2166</v>
      </c>
      <c r="AC19" s="88">
        <v>138530</v>
      </c>
      <c r="AD19" s="21">
        <v>138530</v>
      </c>
      <c r="AE19" s="21"/>
      <c r="AF19">
        <f>SUM(AF9:AF18)</f>
        <v>-113847</v>
      </c>
    </row>
    <row r="20" spans="1:32" ht="13.5" hidden="1" thickBot="1">
      <c r="A20" s="21"/>
      <c r="B20" s="88" t="s">
        <v>159</v>
      </c>
      <c r="C20" s="132">
        <v>16339</v>
      </c>
      <c r="D20" s="129">
        <v>54</v>
      </c>
      <c r="E20" s="87">
        <v>27</v>
      </c>
      <c r="F20" s="21">
        <v>250</v>
      </c>
      <c r="G20" s="21">
        <v>45</v>
      </c>
      <c r="H20" s="21">
        <v>229</v>
      </c>
      <c r="I20" s="21">
        <v>68</v>
      </c>
      <c r="J20" s="87">
        <v>414</v>
      </c>
      <c r="K20" s="87">
        <f t="shared" si="0"/>
        <v>469</v>
      </c>
      <c r="L20" s="87">
        <v>312</v>
      </c>
      <c r="M20" s="87">
        <v>157</v>
      </c>
      <c r="N20" s="130">
        <f t="shared" si="3"/>
        <v>1642</v>
      </c>
      <c r="O20" s="87">
        <v>1135</v>
      </c>
      <c r="P20" s="87">
        <v>507</v>
      </c>
      <c r="Q20" s="87">
        <f t="shared" si="1"/>
        <v>1203</v>
      </c>
      <c r="R20" s="87">
        <v>865</v>
      </c>
      <c r="S20" s="131">
        <v>338</v>
      </c>
      <c r="T20" s="87">
        <v>67</v>
      </c>
      <c r="U20" s="87">
        <f t="shared" si="4"/>
        <v>2665</v>
      </c>
      <c r="V20" s="97">
        <v>750</v>
      </c>
      <c r="W20" s="87">
        <v>781</v>
      </c>
      <c r="X20" s="87">
        <v>1134</v>
      </c>
      <c r="Y20" s="87">
        <v>1217</v>
      </c>
      <c r="Z20" s="87">
        <f t="shared" si="5"/>
        <v>14329</v>
      </c>
      <c r="AA20" s="132">
        <f t="shared" si="2"/>
        <v>7989</v>
      </c>
      <c r="AB20" s="87">
        <v>211292</v>
      </c>
      <c r="AC20" s="88">
        <v>227631</v>
      </c>
      <c r="AD20" s="21">
        <v>227631</v>
      </c>
      <c r="AE20" s="21"/>
      <c r="AF20" t="s">
        <v>160</v>
      </c>
    </row>
    <row r="21" spans="1:32" ht="13.5" hidden="1" thickBot="1">
      <c r="A21" s="21"/>
      <c r="B21" s="96" t="s">
        <v>161</v>
      </c>
      <c r="C21" s="132">
        <f>C22-SUM(C8:C20)</f>
        <v>3171014</v>
      </c>
      <c r="D21" s="135">
        <f aca="true" t="shared" si="6" ref="D21:J21">D22-SUM(D7:D20)</f>
        <v>69343</v>
      </c>
      <c r="E21" s="135">
        <f t="shared" si="6"/>
        <v>164656</v>
      </c>
      <c r="F21" s="135">
        <f t="shared" si="6"/>
        <v>238336</v>
      </c>
      <c r="G21" s="135">
        <f t="shared" si="6"/>
        <v>37996</v>
      </c>
      <c r="H21" s="135">
        <f t="shared" si="6"/>
        <v>18170</v>
      </c>
      <c r="I21" s="135">
        <f t="shared" si="6"/>
        <v>35887</v>
      </c>
      <c r="J21" s="135">
        <f t="shared" si="6"/>
        <v>109435</v>
      </c>
      <c r="K21" s="87">
        <f t="shared" si="0"/>
        <v>51102</v>
      </c>
      <c r="L21" s="135">
        <f>L22-SUM(L7:L20)</f>
        <v>37781</v>
      </c>
      <c r="M21" s="135">
        <f>M22-SUM(M7:M20)</f>
        <v>13321</v>
      </c>
      <c r="N21" s="130">
        <f t="shared" si="3"/>
        <v>165085</v>
      </c>
      <c r="O21" s="135">
        <f>O22-SUM(O7:O20)</f>
        <v>76704</v>
      </c>
      <c r="P21" s="135">
        <f>P22-SUM(P7:P20)</f>
        <v>88381</v>
      </c>
      <c r="Q21" s="87">
        <f t="shared" si="1"/>
        <v>68848</v>
      </c>
      <c r="R21" s="135">
        <f>R22-SUM(R7:R20)</f>
        <v>45212</v>
      </c>
      <c r="S21" s="135">
        <f>S22-SUM(S7:S20)</f>
        <v>23636</v>
      </c>
      <c r="T21" s="135">
        <f>T22-SUM(T7:T20)</f>
        <v>3384</v>
      </c>
      <c r="U21" s="87">
        <f t="shared" si="4"/>
        <v>92785</v>
      </c>
      <c r="V21" s="135">
        <f>V22-SUM(V7:V20)</f>
        <v>20546</v>
      </c>
      <c r="W21" s="135">
        <f>W22-SUM(W7:W20)</f>
        <v>27667</v>
      </c>
      <c r="X21" s="135">
        <f>X22-SUM(X7:X20)</f>
        <v>44572</v>
      </c>
      <c r="Y21" s="135">
        <f>Y22-SUM(Y7:Y20)</f>
        <v>58091</v>
      </c>
      <c r="Z21" s="87">
        <f t="shared" si="5"/>
        <v>1490938</v>
      </c>
      <c r="AA21" s="132">
        <f t="shared" si="2"/>
        <v>2057896</v>
      </c>
      <c r="AB21" s="135">
        <f>AB24-AB22</f>
        <v>4555164</v>
      </c>
      <c r="AC21" s="96">
        <f>AC22-SUM(AC8:AC20)</f>
        <v>1492636</v>
      </c>
      <c r="AD21" s="21"/>
      <c r="AE21" s="21"/>
      <c r="AF21">
        <f>SUM(B21:AB21)</f>
        <v>12765950</v>
      </c>
    </row>
    <row r="22" spans="2:29" s="21" customFormat="1" ht="13.5" hidden="1" thickBot="1">
      <c r="B22" s="136" t="s">
        <v>162</v>
      </c>
      <c r="C22" s="132">
        <v>4588742</v>
      </c>
      <c r="D22" s="87">
        <v>75901</v>
      </c>
      <c r="E22" s="87">
        <v>254179</v>
      </c>
      <c r="F22" s="87">
        <v>283455</v>
      </c>
      <c r="G22" s="87">
        <v>45814</v>
      </c>
      <c r="H22" s="87">
        <v>30717</v>
      </c>
      <c r="I22" s="87">
        <v>45932</v>
      </c>
      <c r="J22" s="87">
        <v>126780</v>
      </c>
      <c r="K22" s="87">
        <f t="shared" si="0"/>
        <v>105083</v>
      </c>
      <c r="L22" s="87">
        <v>87533</v>
      </c>
      <c r="M22" s="87">
        <v>17550</v>
      </c>
      <c r="N22" s="130">
        <f t="shared" si="3"/>
        <v>331882</v>
      </c>
      <c r="O22" s="87">
        <v>169033</v>
      </c>
      <c r="P22" s="87">
        <v>162849</v>
      </c>
      <c r="Q22" s="87">
        <f t="shared" si="1"/>
        <v>293328</v>
      </c>
      <c r="R22" s="87">
        <v>166107</v>
      </c>
      <c r="S22" s="131">
        <v>127221</v>
      </c>
      <c r="T22" s="87">
        <v>10636</v>
      </c>
      <c r="U22" s="87">
        <f t="shared" si="4"/>
        <v>223441</v>
      </c>
      <c r="V22" s="97">
        <v>44385</v>
      </c>
      <c r="W22" s="87">
        <v>85369</v>
      </c>
      <c r="X22" s="87">
        <v>93687</v>
      </c>
      <c r="Y22" s="87">
        <v>102631</v>
      </c>
      <c r="AA22" s="132">
        <f t="shared" si="2"/>
        <v>2658963</v>
      </c>
      <c r="AB22" s="21">
        <f>SUM(AB8:AB20)</f>
        <v>1678741</v>
      </c>
      <c r="AC22" s="95">
        <v>4588742</v>
      </c>
    </row>
    <row r="23" spans="2:29" s="21" customFormat="1" ht="13.5" hidden="1" thickBot="1">
      <c r="B23" s="137" t="s">
        <v>163</v>
      </c>
      <c r="C23" s="132"/>
      <c r="D23" s="135">
        <f aca="true" t="shared" si="7" ref="D23:J23">D24-D22</f>
        <v>15603</v>
      </c>
      <c r="E23" s="135">
        <f t="shared" si="7"/>
        <v>202770</v>
      </c>
      <c r="F23" s="135">
        <f t="shared" si="7"/>
        <v>125027</v>
      </c>
      <c r="G23" s="135">
        <f t="shared" si="7"/>
        <v>23318</v>
      </c>
      <c r="H23" s="135">
        <f t="shared" si="7"/>
        <v>31957</v>
      </c>
      <c r="I23" s="135">
        <f t="shared" si="7"/>
        <v>17992</v>
      </c>
      <c r="J23" s="135">
        <f t="shared" si="7"/>
        <v>23958</v>
      </c>
      <c r="K23" s="87">
        <f t="shared" si="0"/>
        <v>132370</v>
      </c>
      <c r="L23" s="135">
        <f>L24-L22</f>
        <v>120561</v>
      </c>
      <c r="M23" s="135">
        <f>M24-M22</f>
        <v>11809</v>
      </c>
      <c r="N23" s="130">
        <f t="shared" si="3"/>
        <v>759607</v>
      </c>
      <c r="O23" s="135">
        <f>O24-O22</f>
        <v>399937</v>
      </c>
      <c r="P23" s="135">
        <f>P24-P22</f>
        <v>359670</v>
      </c>
      <c r="Q23" s="87">
        <f t="shared" si="1"/>
        <v>354041</v>
      </c>
      <c r="R23" s="135">
        <f>R24-R22</f>
        <v>250165</v>
      </c>
      <c r="S23" s="135">
        <f>S24-S22</f>
        <v>103876</v>
      </c>
      <c r="T23" s="135">
        <f>T24-T22</f>
        <v>19229</v>
      </c>
      <c r="U23" s="87">
        <f t="shared" si="4"/>
        <v>489095</v>
      </c>
      <c r="V23" s="135">
        <f>V24-V22</f>
        <v>71345</v>
      </c>
      <c r="W23" s="135">
        <f>W24-W22</f>
        <v>170992</v>
      </c>
      <c r="X23" s="135">
        <f>X24-X22</f>
        <v>246758</v>
      </c>
      <c r="Y23" s="135">
        <f>Y24-Y22</f>
        <v>125701</v>
      </c>
      <c r="Z23" s="135">
        <f>Z24-Z22</f>
        <v>0</v>
      </c>
      <c r="AA23" s="132"/>
      <c r="AB23" s="138"/>
      <c r="AC23" s="96">
        <f>AC24-AC22</f>
        <v>6233905</v>
      </c>
    </row>
    <row r="24" spans="1:31" s="99" customFormat="1" ht="15.75" hidden="1" thickBot="1">
      <c r="A24" s="94"/>
      <c r="B24" s="140" t="s">
        <v>164</v>
      </c>
      <c r="C24" s="132"/>
      <c r="D24" s="141">
        <v>91504</v>
      </c>
      <c r="E24" s="141">
        <v>456949</v>
      </c>
      <c r="F24" s="141">
        <v>408482</v>
      </c>
      <c r="G24" s="141">
        <v>69132</v>
      </c>
      <c r="H24" s="141">
        <v>62674</v>
      </c>
      <c r="I24" s="141">
        <v>63924</v>
      </c>
      <c r="J24" s="141">
        <v>150738</v>
      </c>
      <c r="K24" s="87">
        <f t="shared" si="0"/>
        <v>237453</v>
      </c>
      <c r="L24" s="141">
        <v>208094</v>
      </c>
      <c r="M24" s="141">
        <v>29359</v>
      </c>
      <c r="N24" s="142">
        <f t="shared" si="3"/>
        <v>1091489</v>
      </c>
      <c r="O24" s="141">
        <v>568970</v>
      </c>
      <c r="P24" s="141">
        <v>522519</v>
      </c>
      <c r="Q24" s="87">
        <f t="shared" si="1"/>
        <v>647369</v>
      </c>
      <c r="R24" s="141">
        <v>416272</v>
      </c>
      <c r="S24" s="143">
        <v>231097</v>
      </c>
      <c r="T24" s="141">
        <v>29865</v>
      </c>
      <c r="U24" s="87">
        <f t="shared" si="4"/>
        <v>712536</v>
      </c>
      <c r="V24" s="144">
        <v>115730</v>
      </c>
      <c r="W24" s="141">
        <v>256361</v>
      </c>
      <c r="X24" s="141">
        <v>340445</v>
      </c>
      <c r="Y24" s="141">
        <v>228332</v>
      </c>
      <c r="Z24" s="145"/>
      <c r="AA24" s="132"/>
      <c r="AB24" s="144">
        <v>6233905</v>
      </c>
      <c r="AC24" s="144">
        <v>10822647</v>
      </c>
      <c r="AD24" s="94"/>
      <c r="AE24" s="94"/>
    </row>
    <row r="25" spans="1:31" ht="13.5" hidden="1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2"/>
      <c r="T25" s="21"/>
      <c r="U25" s="21"/>
      <c r="V25" s="21"/>
      <c r="W25" s="21"/>
      <c r="X25" s="21"/>
      <c r="Y25" s="21"/>
      <c r="Z25" s="21"/>
      <c r="AA25" s="21"/>
      <c r="AB25" s="21"/>
      <c r="AC25" s="94"/>
      <c r="AD25" s="21"/>
      <c r="AE25" s="21"/>
    </row>
    <row r="26" spans="1:31" ht="12.75">
      <c r="A26" s="21"/>
      <c r="B26" s="61"/>
      <c r="C26" s="723" t="s">
        <v>256</v>
      </c>
      <c r="D26" s="861" t="s">
        <v>118</v>
      </c>
      <c r="E26" s="816"/>
      <c r="F26" s="816"/>
      <c r="G26" s="816"/>
      <c r="H26" s="816"/>
      <c r="I26" s="816"/>
      <c r="J26" s="816"/>
      <c r="K26" s="816"/>
      <c r="L26" s="816"/>
      <c r="M26" s="816"/>
      <c r="N26" s="816"/>
      <c r="O26" s="816"/>
      <c r="P26" s="816"/>
      <c r="Q26" s="816"/>
      <c r="R26" s="816"/>
      <c r="S26" s="816"/>
      <c r="T26" s="816"/>
      <c r="U26" s="816"/>
      <c r="V26" s="816"/>
      <c r="W26" s="816"/>
      <c r="X26" s="816"/>
      <c r="Y26" s="817"/>
      <c r="Z26" s="721"/>
      <c r="AA26" s="721"/>
      <c r="AB26" s="432" t="s">
        <v>49</v>
      </c>
      <c r="AC26" s="713" t="s">
        <v>165</v>
      </c>
      <c r="AD26" s="21"/>
      <c r="AE26" s="21"/>
    </row>
    <row r="27" spans="1:60" ht="15">
      <c r="A27" s="21"/>
      <c r="B27" s="682" t="s">
        <v>52</v>
      </c>
      <c r="C27" s="724" t="s">
        <v>351</v>
      </c>
      <c r="D27" s="723" t="s">
        <v>166</v>
      </c>
      <c r="E27" s="723" t="s">
        <v>167</v>
      </c>
      <c r="F27" s="723" t="s">
        <v>123</v>
      </c>
      <c r="G27" s="723" t="s">
        <v>124</v>
      </c>
      <c r="H27" s="723" t="s">
        <v>125</v>
      </c>
      <c r="I27" s="723" t="s">
        <v>168</v>
      </c>
      <c r="J27" s="723" t="s">
        <v>205</v>
      </c>
      <c r="K27" s="723" t="s">
        <v>358</v>
      </c>
      <c r="L27" s="61"/>
      <c r="M27" s="723" t="s">
        <v>129</v>
      </c>
      <c r="N27" s="723" t="s">
        <v>169</v>
      </c>
      <c r="O27" s="723" t="s">
        <v>131</v>
      </c>
      <c r="P27" s="723" t="s">
        <v>97</v>
      </c>
      <c r="Q27" s="723" t="s">
        <v>132</v>
      </c>
      <c r="R27" s="723" t="s">
        <v>133</v>
      </c>
      <c r="S27" s="723" t="s">
        <v>76</v>
      </c>
      <c r="T27" s="723" t="s">
        <v>134</v>
      </c>
      <c r="U27" s="723" t="s">
        <v>135</v>
      </c>
      <c r="V27" s="723" t="s">
        <v>136</v>
      </c>
      <c r="W27" s="723" t="s">
        <v>137</v>
      </c>
      <c r="X27" s="723" t="s">
        <v>77</v>
      </c>
      <c r="Y27" s="723" t="s">
        <v>355</v>
      </c>
      <c r="Z27" s="723"/>
      <c r="AA27" s="723" t="s">
        <v>170</v>
      </c>
      <c r="AB27" s="724" t="s">
        <v>227</v>
      </c>
      <c r="AC27" s="95" t="s">
        <v>171</v>
      </c>
      <c r="AD27" s="102"/>
      <c r="AE27" s="102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15">
      <c r="A28" s="21"/>
      <c r="B28" s="682"/>
      <c r="C28" s="724" t="s">
        <v>352</v>
      </c>
      <c r="D28" s="724" t="s">
        <v>172</v>
      </c>
      <c r="E28" s="724" t="s">
        <v>173</v>
      </c>
      <c r="F28" s="724"/>
      <c r="G28" s="724"/>
      <c r="H28" s="724"/>
      <c r="I28" s="724" t="s">
        <v>174</v>
      </c>
      <c r="J28" s="724" t="s">
        <v>221</v>
      </c>
      <c r="K28" s="724" t="s">
        <v>357</v>
      </c>
      <c r="L28" s="724"/>
      <c r="M28" s="724" t="s">
        <v>143</v>
      </c>
      <c r="N28" s="724" t="s">
        <v>175</v>
      </c>
      <c r="O28" s="724"/>
      <c r="P28" s="724"/>
      <c r="Q28" s="724" t="s">
        <v>144</v>
      </c>
      <c r="R28" s="724"/>
      <c r="S28" s="724"/>
      <c r="T28" s="724"/>
      <c r="U28" s="724" t="s">
        <v>145</v>
      </c>
      <c r="V28" s="724"/>
      <c r="W28" s="724"/>
      <c r="X28" s="724"/>
      <c r="Y28" s="724" t="s">
        <v>356</v>
      </c>
      <c r="Z28" s="724"/>
      <c r="AA28" s="724"/>
      <c r="AB28" s="724" t="s">
        <v>228</v>
      </c>
      <c r="AC28" s="714" t="s">
        <v>176</v>
      </c>
      <c r="AD28" s="102"/>
      <c r="AE28" s="102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13.5" thickBot="1">
      <c r="A29" s="21"/>
      <c r="B29" s="667" t="s">
        <v>177</v>
      </c>
      <c r="C29" s="731"/>
      <c r="D29" s="731" t="s">
        <v>178</v>
      </c>
      <c r="E29" s="731"/>
      <c r="F29" s="731"/>
      <c r="G29" s="731"/>
      <c r="H29" s="731"/>
      <c r="I29" s="731" t="s">
        <v>142</v>
      </c>
      <c r="J29" s="731"/>
      <c r="K29" s="731"/>
      <c r="L29" s="731"/>
      <c r="M29" s="731"/>
      <c r="N29" s="731" t="s">
        <v>179</v>
      </c>
      <c r="O29" s="731"/>
      <c r="P29" s="731"/>
      <c r="Q29" s="731" t="s">
        <v>76</v>
      </c>
      <c r="R29" s="731"/>
      <c r="S29" s="731"/>
      <c r="T29" s="731"/>
      <c r="U29" s="731" t="s">
        <v>80</v>
      </c>
      <c r="V29" s="731" t="s">
        <v>146</v>
      </c>
      <c r="W29" s="731" t="s">
        <v>147</v>
      </c>
      <c r="X29" s="731" t="s">
        <v>148</v>
      </c>
      <c r="Y29" s="731" t="s">
        <v>80</v>
      </c>
      <c r="Z29" s="731"/>
      <c r="AA29" s="731"/>
      <c r="AB29" s="731"/>
      <c r="AC29" s="125"/>
      <c r="AD29" s="102"/>
      <c r="AE29" s="102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31" ht="12.75">
      <c r="A30" s="21"/>
      <c r="B30" s="667" t="s">
        <v>180</v>
      </c>
      <c r="C30" s="725"/>
      <c r="D30" s="724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5"/>
      <c r="Z30" s="725"/>
      <c r="AA30" s="725"/>
      <c r="AB30" s="725"/>
      <c r="AC30" s="715"/>
      <c r="AD30" s="21"/>
      <c r="AE30" s="21"/>
    </row>
    <row r="31" spans="1:31" ht="12.75">
      <c r="A31" s="21"/>
      <c r="B31" s="684" t="s">
        <v>150</v>
      </c>
      <c r="C31" s="726">
        <f>C8/C22</f>
        <v>0.0009590863901260955</v>
      </c>
      <c r="D31" s="726">
        <f>D8/D22</f>
        <v>9.222539887485013E-05</v>
      </c>
      <c r="E31" s="727" t="s">
        <v>19</v>
      </c>
      <c r="F31" s="726">
        <f>F8/F22</f>
        <v>1.4111587377185091E-05</v>
      </c>
      <c r="G31" s="727" t="s">
        <v>19</v>
      </c>
      <c r="H31" s="726">
        <f aca="true" t="shared" si="8" ref="H31:Y31">H8/H22</f>
        <v>0.0001953315753491552</v>
      </c>
      <c r="I31" s="726">
        <f t="shared" si="8"/>
        <v>0.00017417051293216058</v>
      </c>
      <c r="J31" s="726">
        <f t="shared" si="8"/>
        <v>3.9438397223536837E-05</v>
      </c>
      <c r="K31" s="726">
        <f t="shared" si="8"/>
        <v>0.0008564658412873633</v>
      </c>
      <c r="L31" s="726">
        <f t="shared" si="8"/>
        <v>0.0009482138165034901</v>
      </c>
      <c r="M31" s="726">
        <f t="shared" si="8"/>
        <v>0.0003988603988603989</v>
      </c>
      <c r="N31" s="726">
        <f t="shared" si="8"/>
        <v>0.0011660770996920593</v>
      </c>
      <c r="O31" s="726">
        <f t="shared" si="8"/>
        <v>0.001620985251400614</v>
      </c>
      <c r="P31" s="726">
        <f t="shared" si="8"/>
        <v>0.000693894343839999</v>
      </c>
      <c r="Q31" s="726">
        <f t="shared" si="8"/>
        <v>0.0012034309714722086</v>
      </c>
      <c r="R31" s="726">
        <f t="shared" si="8"/>
        <v>0.0019144286514114397</v>
      </c>
      <c r="S31" s="726">
        <f t="shared" si="8"/>
        <v>0.00027511181330126317</v>
      </c>
      <c r="T31" s="726">
        <f t="shared" si="8"/>
        <v>0.0005641218503196691</v>
      </c>
      <c r="U31" s="726">
        <f t="shared" si="8"/>
        <v>0.001418719035450074</v>
      </c>
      <c r="V31" s="726">
        <f t="shared" si="8"/>
        <v>0.0007885546919004169</v>
      </c>
      <c r="W31" s="726">
        <f t="shared" si="8"/>
        <v>0.0014993733088123323</v>
      </c>
      <c r="X31" s="726">
        <f t="shared" si="8"/>
        <v>0.0016437712809674767</v>
      </c>
      <c r="Y31" s="726">
        <f t="shared" si="8"/>
        <v>0.009168769669982754</v>
      </c>
      <c r="Z31" s="728"/>
      <c r="AA31" s="726">
        <f>AA8/AA22</f>
        <v>0.0008563488848848216</v>
      </c>
      <c r="AB31" s="726">
        <f>AB8/AB24</f>
        <v>0.002485440506392061</v>
      </c>
      <c r="AC31" s="716">
        <f>AC8/AC22</f>
        <v>0.00432907319696771</v>
      </c>
      <c r="AD31" s="21"/>
      <c r="AE31" s="21"/>
    </row>
    <row r="32" spans="1:31" ht="12.75">
      <c r="A32" s="21"/>
      <c r="B32" s="684" t="s">
        <v>151</v>
      </c>
      <c r="C32" s="726">
        <f>C9/C22</f>
        <v>0.012312742795302067</v>
      </c>
      <c r="D32" s="726">
        <f aca="true" t="shared" si="9" ref="D32:Y32">D9/D22</f>
        <v>7.905034189272868E-05</v>
      </c>
      <c r="E32" s="726">
        <f t="shared" si="9"/>
        <v>0.000523253297872759</v>
      </c>
      <c r="F32" s="726">
        <f t="shared" si="9"/>
        <v>0.004191141451023972</v>
      </c>
      <c r="G32" s="726">
        <f t="shared" si="9"/>
        <v>0.0006548216702318069</v>
      </c>
      <c r="H32" s="726">
        <f t="shared" si="9"/>
        <v>0.01259888661002051</v>
      </c>
      <c r="I32" s="726">
        <f t="shared" si="9"/>
        <v>0.00017417051293216058</v>
      </c>
      <c r="J32" s="726">
        <f t="shared" si="9"/>
        <v>0.00014197823000473261</v>
      </c>
      <c r="K32" s="726">
        <f t="shared" si="9"/>
        <v>0.007565448264705042</v>
      </c>
      <c r="L32" s="726">
        <f t="shared" si="9"/>
        <v>0.008968046336810117</v>
      </c>
      <c r="M32" s="726">
        <f t="shared" si="9"/>
        <v>0.0005698005698005698</v>
      </c>
      <c r="N32" s="726">
        <f t="shared" si="9"/>
        <v>0.01873858781133053</v>
      </c>
      <c r="O32" s="726">
        <f t="shared" si="9"/>
        <v>0.033247945667414056</v>
      </c>
      <c r="P32" s="726">
        <f t="shared" si="9"/>
        <v>0.0036782540881430035</v>
      </c>
      <c r="Q32" s="726">
        <f t="shared" si="9"/>
        <v>0.017212812960235642</v>
      </c>
      <c r="R32" s="726">
        <f t="shared" si="9"/>
        <v>0.021106876892605368</v>
      </c>
      <c r="S32" s="726">
        <f t="shared" si="9"/>
        <v>0.012128500797824258</v>
      </c>
      <c r="T32" s="726">
        <f t="shared" si="9"/>
        <v>0.20900714554343738</v>
      </c>
      <c r="U32" s="726">
        <f t="shared" si="9"/>
        <v>0.024404652682363578</v>
      </c>
      <c r="V32" s="726">
        <f t="shared" si="9"/>
        <v>0.02340880928241523</v>
      </c>
      <c r="W32" s="726">
        <f t="shared" si="9"/>
        <v>0.02299429535311413</v>
      </c>
      <c r="X32" s="726">
        <f t="shared" si="9"/>
        <v>0.026161580582151206</v>
      </c>
      <c r="Y32" s="726">
        <f t="shared" si="9"/>
        <v>0.09112256530677865</v>
      </c>
      <c r="Z32" s="726" t="e">
        <f>Z9/Z24</f>
        <v>#DIV/0!</v>
      </c>
      <c r="AA32" s="726">
        <f>AA9/AA22</f>
        <v>0.009642480922073756</v>
      </c>
      <c r="AB32" s="726">
        <f>AB9/AB24</f>
        <v>0.003962524292558196</v>
      </c>
      <c r="AC32" s="716">
        <f>AC9/AC22</f>
        <v>0.01769591753033838</v>
      </c>
      <c r="AD32" s="21"/>
      <c r="AE32" s="21"/>
    </row>
    <row r="33" spans="1:31" ht="12.75">
      <c r="A33" s="21"/>
      <c r="B33" s="684" t="s">
        <v>128</v>
      </c>
      <c r="C33" s="726">
        <f>C10/C22</f>
        <v>0.020718968292399092</v>
      </c>
      <c r="D33" s="726">
        <f aca="true" t="shared" si="10" ref="D33:Y33">D10/D22</f>
        <v>0.0030170880489058115</v>
      </c>
      <c r="E33" s="726">
        <f t="shared" si="10"/>
        <v>0.006963596520562281</v>
      </c>
      <c r="F33" s="726">
        <f t="shared" si="10"/>
        <v>0.00212026600342206</v>
      </c>
      <c r="G33" s="726">
        <f t="shared" si="10"/>
        <v>0.0029685249050508578</v>
      </c>
      <c r="H33" s="726">
        <f t="shared" si="10"/>
        <v>0.006836605137220432</v>
      </c>
      <c r="I33" s="726">
        <f t="shared" si="10"/>
        <v>0.0053339719585474175</v>
      </c>
      <c r="J33" s="726">
        <f t="shared" si="10"/>
        <v>0.0012778040700425935</v>
      </c>
      <c r="K33" s="726">
        <f t="shared" si="10"/>
        <v>0.2686733344118459</v>
      </c>
      <c r="L33" s="726">
        <f t="shared" si="10"/>
        <v>0.3172403550660894</v>
      </c>
      <c r="M33" s="726">
        <f t="shared" si="10"/>
        <v>0.026438746438746438</v>
      </c>
      <c r="N33" s="726">
        <f t="shared" si="10"/>
        <v>0.041162220307217626</v>
      </c>
      <c r="O33" s="726">
        <f t="shared" si="10"/>
        <v>0.051333171629208495</v>
      </c>
      <c r="P33" s="726">
        <f t="shared" si="10"/>
        <v>0.03060503902388102</v>
      </c>
      <c r="Q33" s="726">
        <f t="shared" si="10"/>
        <v>0.03193353515518464</v>
      </c>
      <c r="R33" s="726">
        <f t="shared" si="10"/>
        <v>0.03125696087461696</v>
      </c>
      <c r="S33" s="726">
        <f t="shared" si="10"/>
        <v>0.03281690915807925</v>
      </c>
      <c r="T33" s="726">
        <f t="shared" si="10"/>
        <v>0.02933433621662279</v>
      </c>
      <c r="U33" s="726">
        <f t="shared" si="10"/>
        <v>0.044204062817477546</v>
      </c>
      <c r="V33" s="726">
        <f t="shared" si="10"/>
        <v>0.05373436971949983</v>
      </c>
      <c r="W33" s="726">
        <f t="shared" si="10"/>
        <v>0.03536412515081587</v>
      </c>
      <c r="X33" s="726">
        <f t="shared" si="10"/>
        <v>0.047744084024464443</v>
      </c>
      <c r="Y33" s="726">
        <f t="shared" si="10"/>
        <v>0.020627295846284262</v>
      </c>
      <c r="Z33" s="726" t="e">
        <f>Z10/Z24</f>
        <v>#DIV/0!</v>
      </c>
      <c r="AA33" s="726">
        <f>AA10/AA22</f>
        <v>0.010588338386055015</v>
      </c>
      <c r="AB33" s="726">
        <f>AB10/AB24</f>
        <v>0.01778451869253702</v>
      </c>
      <c r="AC33" s="716">
        <f>AC10/AC22</f>
        <v>0.04487962060189917</v>
      </c>
      <c r="AD33" s="21"/>
      <c r="AE33" s="21"/>
    </row>
    <row r="34" spans="1:31" ht="12.75">
      <c r="A34" s="21"/>
      <c r="B34" s="684" t="s">
        <v>153</v>
      </c>
      <c r="C34" s="726">
        <f>C11/C22</f>
        <v>0.00018196708378897747</v>
      </c>
      <c r="D34" s="727" t="s">
        <v>19</v>
      </c>
      <c r="E34" s="696" t="s">
        <v>19</v>
      </c>
      <c r="F34" s="696" t="s">
        <v>19</v>
      </c>
      <c r="G34" s="696" t="s">
        <v>19</v>
      </c>
      <c r="H34" s="696" t="s">
        <v>19</v>
      </c>
      <c r="I34" s="696" t="s">
        <v>19</v>
      </c>
      <c r="J34" s="696" t="s">
        <v>19</v>
      </c>
      <c r="K34" s="689">
        <f>K11/K22</f>
        <v>0.0065376892551602065</v>
      </c>
      <c r="L34" s="689">
        <f>L11/L22</f>
        <v>0.0009253652908046108</v>
      </c>
      <c r="M34" s="689">
        <f>M11/M22</f>
        <v>0.03452991452991453</v>
      </c>
      <c r="N34" s="727" t="s">
        <v>19</v>
      </c>
      <c r="O34" s="696" t="s">
        <v>19</v>
      </c>
      <c r="P34" s="696" t="s">
        <v>19</v>
      </c>
      <c r="Q34" s="696" t="s">
        <v>19</v>
      </c>
      <c r="R34" s="696" t="s">
        <v>19</v>
      </c>
      <c r="S34" s="696" t="s">
        <v>19</v>
      </c>
      <c r="T34" s="689">
        <f>T11/T22</f>
        <v>0.013915005641218503</v>
      </c>
      <c r="U34" s="696" t="s">
        <v>19</v>
      </c>
      <c r="V34" s="696" t="s">
        <v>19</v>
      </c>
      <c r="W34" s="696" t="s">
        <v>19</v>
      </c>
      <c r="X34" s="696" t="s">
        <v>19</v>
      </c>
      <c r="Y34" s="696" t="s">
        <v>19</v>
      </c>
      <c r="Z34" s="726"/>
      <c r="AA34" s="726">
        <f>AA11/AA22</f>
        <v>0</v>
      </c>
      <c r="AB34" s="726">
        <f>AB11/AB24</f>
        <v>0.0002949996831841358</v>
      </c>
      <c r="AC34" s="716">
        <f>AC11/AC22</f>
        <v>0.0005827305174272165</v>
      </c>
      <c r="AD34" s="21"/>
      <c r="AE34" s="21"/>
    </row>
    <row r="35" spans="1:31" ht="12.75">
      <c r="A35" s="21"/>
      <c r="B35" s="684" t="s">
        <v>154</v>
      </c>
      <c r="C35" s="726">
        <f>C12/C22</f>
        <v>0.06114290147495762</v>
      </c>
      <c r="D35" s="726">
        <f aca="true" t="shared" si="11" ref="D35:Y35">D12/D22</f>
        <v>0.06496620597884085</v>
      </c>
      <c r="E35" s="726">
        <f t="shared" si="11"/>
        <v>0.07139850263003632</v>
      </c>
      <c r="F35" s="726">
        <f t="shared" si="11"/>
        <v>0.07936003951244465</v>
      </c>
      <c r="G35" s="726">
        <f t="shared" si="11"/>
        <v>0.06432531540577116</v>
      </c>
      <c r="H35" s="726">
        <f t="shared" si="11"/>
        <v>0.12924439235602436</v>
      </c>
      <c r="I35" s="726">
        <f t="shared" si="11"/>
        <v>0.1443655839066446</v>
      </c>
      <c r="J35" s="726">
        <f t="shared" si="11"/>
        <v>0.09783877583215018</v>
      </c>
      <c r="K35" s="726">
        <f t="shared" si="11"/>
        <v>0.018014331528410876</v>
      </c>
      <c r="L35" s="726">
        <f t="shared" si="11"/>
        <v>0.020540824603292474</v>
      </c>
      <c r="M35" s="726">
        <f t="shared" si="11"/>
        <v>0.005413105413105413</v>
      </c>
      <c r="N35" s="726">
        <f t="shared" si="11"/>
        <v>0.050665598013751874</v>
      </c>
      <c r="O35" s="726">
        <f t="shared" si="11"/>
        <v>0.08546260197712872</v>
      </c>
      <c r="P35" s="726">
        <f t="shared" si="11"/>
        <v>0.014547218588999626</v>
      </c>
      <c r="Q35" s="726">
        <f t="shared" si="11"/>
        <v>0.008444471717667594</v>
      </c>
      <c r="R35" s="726">
        <f t="shared" si="11"/>
        <v>0.010914651399399183</v>
      </c>
      <c r="S35" s="726">
        <f t="shared" si="11"/>
        <v>0.005219264115201107</v>
      </c>
      <c r="T35" s="726">
        <f t="shared" si="11"/>
        <v>0.02500940203083866</v>
      </c>
      <c r="U35" s="726">
        <f t="shared" si="11"/>
        <v>0.03482351045689914</v>
      </c>
      <c r="V35" s="726">
        <f t="shared" si="11"/>
        <v>0.06112425368930945</v>
      </c>
      <c r="W35" s="726">
        <f t="shared" si="11"/>
        <v>0.014443181951293795</v>
      </c>
      <c r="X35" s="726">
        <f t="shared" si="11"/>
        <v>0.04093417443188489</v>
      </c>
      <c r="Y35" s="726">
        <f t="shared" si="11"/>
        <v>0.02894836842669369</v>
      </c>
      <c r="Z35" s="726" t="e">
        <f>Z12/Z24</f>
        <v>#DIV/0!</v>
      </c>
      <c r="AA35" s="726">
        <f>AA12/AA22</f>
        <v>0.0665071307874536</v>
      </c>
      <c r="AB35" s="726">
        <f>AB12/AB24</f>
        <v>0.04626329724306033</v>
      </c>
      <c r="AC35" s="716">
        <f>AC12/AC22</f>
        <v>0.12399258881846048</v>
      </c>
      <c r="AD35" s="21"/>
      <c r="AE35" s="21"/>
    </row>
    <row r="36" spans="1:31" ht="12.75">
      <c r="A36" s="21"/>
      <c r="B36" s="684" t="s">
        <v>155</v>
      </c>
      <c r="C36" s="726">
        <f>C13/C22</f>
        <v>0.00869127094092455</v>
      </c>
      <c r="D36" s="696" t="s">
        <v>19</v>
      </c>
      <c r="E36" s="726">
        <f aca="true" t="shared" si="12" ref="E36:Y36">E13/E22</f>
        <v>0.07231517946014424</v>
      </c>
      <c r="F36" s="726">
        <f t="shared" si="12"/>
        <v>0.002677673704820871</v>
      </c>
      <c r="G36" s="726">
        <f t="shared" si="12"/>
        <v>0.0002619286680927227</v>
      </c>
      <c r="H36" s="726">
        <f t="shared" si="12"/>
        <v>0.0014975420776768564</v>
      </c>
      <c r="I36" s="726">
        <f t="shared" si="12"/>
        <v>0.00034834102586432116</v>
      </c>
      <c r="J36" s="726">
        <f t="shared" si="12"/>
        <v>0.00037072093390124627</v>
      </c>
      <c r="K36" s="726">
        <f t="shared" si="12"/>
        <v>0.0007327541086569664</v>
      </c>
      <c r="L36" s="726">
        <f t="shared" si="12"/>
        <v>0.0007882741366113351</v>
      </c>
      <c r="M36" s="726">
        <f t="shared" si="12"/>
        <v>0.0004558404558404558</v>
      </c>
      <c r="N36" s="726">
        <f t="shared" si="12"/>
        <v>0.010256657486697079</v>
      </c>
      <c r="O36" s="726">
        <f t="shared" si="12"/>
        <v>0.008826678814196045</v>
      </c>
      <c r="P36" s="726">
        <f t="shared" si="12"/>
        <v>0.011740937924089187</v>
      </c>
      <c r="Q36" s="726">
        <f t="shared" si="12"/>
        <v>0.0008488790705285551</v>
      </c>
      <c r="R36" s="726">
        <f t="shared" si="12"/>
        <v>0.0007946684968122957</v>
      </c>
      <c r="S36" s="726">
        <f t="shared" si="12"/>
        <v>0.0009196594901785082</v>
      </c>
      <c r="T36" s="726">
        <f t="shared" si="12"/>
        <v>0.001692365550959007</v>
      </c>
      <c r="U36" s="726">
        <f t="shared" si="12"/>
        <v>0.003517707135216903</v>
      </c>
      <c r="V36" s="726">
        <f t="shared" si="12"/>
        <v>0.0006308437535203334</v>
      </c>
      <c r="W36" s="726">
        <f t="shared" si="12"/>
        <v>0.0007379728004310698</v>
      </c>
      <c r="X36" s="726">
        <f t="shared" si="12"/>
        <v>0.007418318443327249</v>
      </c>
      <c r="Y36" s="726">
        <f t="shared" si="12"/>
        <v>0.003176428174723037</v>
      </c>
      <c r="Z36" s="726" t="e">
        <f>Z13/Z24</f>
        <v>#DIV/0!</v>
      </c>
      <c r="AA36" s="726">
        <f>AA13/AA22</f>
        <v>0.005927498803104819</v>
      </c>
      <c r="AB36" s="726">
        <f>AB13/AB24</f>
        <v>0.0780082468372553</v>
      </c>
      <c r="AC36" s="716">
        <f>AC13/AC22</f>
        <v>0.11466715714241507</v>
      </c>
      <c r="AD36" s="21"/>
      <c r="AE36" s="21"/>
    </row>
    <row r="37" spans="1:31" ht="12.75">
      <c r="A37" s="21"/>
      <c r="B37" s="684" t="s">
        <v>133</v>
      </c>
      <c r="C37" s="726">
        <f>C14/C22</f>
        <v>0.035686033339856545</v>
      </c>
      <c r="D37" s="726">
        <f aca="true" t="shared" si="13" ref="D37:Y37">D14/D22</f>
        <v>0.006139576553668594</v>
      </c>
      <c r="E37" s="726">
        <f t="shared" si="13"/>
        <v>0.01154304643577951</v>
      </c>
      <c r="F37" s="726">
        <f t="shared" si="13"/>
        <v>0.009440651955336827</v>
      </c>
      <c r="G37" s="726">
        <f t="shared" si="13"/>
        <v>0.009887807220500283</v>
      </c>
      <c r="H37" s="726">
        <f t="shared" si="13"/>
        <v>0.015724191815606994</v>
      </c>
      <c r="I37" s="726">
        <f t="shared" si="13"/>
        <v>0.010537316032395716</v>
      </c>
      <c r="J37" s="726">
        <f t="shared" si="13"/>
        <v>0.007990219277488563</v>
      </c>
      <c r="K37" s="726">
        <f t="shared" si="13"/>
        <v>0.023467164051273755</v>
      </c>
      <c r="L37" s="726">
        <f t="shared" si="13"/>
        <v>0.02533901500005712</v>
      </c>
      <c r="M37" s="726">
        <f t="shared" si="13"/>
        <v>0.014131054131054132</v>
      </c>
      <c r="N37" s="726">
        <f t="shared" si="13"/>
        <v>0.04563971532050548</v>
      </c>
      <c r="O37" s="726">
        <f t="shared" si="13"/>
        <v>0.03776777315672088</v>
      </c>
      <c r="P37" s="726">
        <f t="shared" si="13"/>
        <v>0.05381058526610541</v>
      </c>
      <c r="Q37" s="726">
        <f t="shared" si="13"/>
        <v>0.24090438007963783</v>
      </c>
      <c r="R37" s="726">
        <f t="shared" si="13"/>
        <v>0.3610805083470293</v>
      </c>
      <c r="S37" s="726">
        <f t="shared" si="13"/>
        <v>0.08399556676963708</v>
      </c>
      <c r="T37" s="726">
        <f t="shared" si="13"/>
        <v>0.016547574276043624</v>
      </c>
      <c r="U37" s="726">
        <f t="shared" si="13"/>
        <v>0.030263022453354577</v>
      </c>
      <c r="V37" s="726">
        <f t="shared" si="13"/>
        <v>0.02244001351808043</v>
      </c>
      <c r="W37" s="726">
        <f t="shared" si="13"/>
        <v>0.03175625812648619</v>
      </c>
      <c r="X37" s="726">
        <f t="shared" si="13"/>
        <v>0.03260857963217949</v>
      </c>
      <c r="Y37" s="726">
        <f t="shared" si="13"/>
        <v>0.025957069501417702</v>
      </c>
      <c r="Z37" s="728"/>
      <c r="AA37" s="726">
        <f>AA14/AA22</f>
        <v>0.021574576253975703</v>
      </c>
      <c r="AB37" s="726">
        <f>AB14/AB24</f>
        <v>0.036416981009495655</v>
      </c>
      <c r="AC37" s="716">
        <f>AC14/AC22</f>
        <v>0.08508671875646964</v>
      </c>
      <c r="AD37" s="21"/>
      <c r="AE37" s="21"/>
    </row>
    <row r="38" spans="1:31" ht="12.75">
      <c r="A38" s="21"/>
      <c r="B38" s="684" t="s">
        <v>76</v>
      </c>
      <c r="C38" s="726">
        <f>C15/C22</f>
        <v>0.0196339214538538</v>
      </c>
      <c r="D38" s="726">
        <f aca="true" t="shared" si="14" ref="D38:Y38">D15/D22</f>
        <v>0.0040974427214397705</v>
      </c>
      <c r="E38" s="726">
        <f t="shared" si="14"/>
        <v>0.010661777723572758</v>
      </c>
      <c r="F38" s="726">
        <f t="shared" si="14"/>
        <v>0.002388386163588577</v>
      </c>
      <c r="G38" s="726">
        <f t="shared" si="14"/>
        <v>0.0020299471777186014</v>
      </c>
      <c r="H38" s="726">
        <f t="shared" si="14"/>
        <v>0.002767197317446365</v>
      </c>
      <c r="I38" s="726">
        <f t="shared" si="14"/>
        <v>0.001785247757554646</v>
      </c>
      <c r="J38" s="726">
        <f t="shared" si="14"/>
        <v>0.0017747278750591575</v>
      </c>
      <c r="K38" s="726">
        <f t="shared" si="14"/>
        <v>0.0047962087112092345</v>
      </c>
      <c r="L38" s="726">
        <f t="shared" si="14"/>
        <v>0.0038614008431105983</v>
      </c>
      <c r="M38" s="726">
        <f t="shared" si="14"/>
        <v>0.009458689458689459</v>
      </c>
      <c r="N38" s="726">
        <f t="shared" si="14"/>
        <v>0.007526771563386987</v>
      </c>
      <c r="O38" s="726">
        <f t="shared" si="14"/>
        <v>0.005424976188081617</v>
      </c>
      <c r="P38" s="726">
        <f t="shared" si="14"/>
        <v>0.009708380155849898</v>
      </c>
      <c r="Q38" s="726">
        <f t="shared" si="14"/>
        <v>0.22409384716085748</v>
      </c>
      <c r="R38" s="726">
        <f t="shared" si="14"/>
        <v>0.00762761352622105</v>
      </c>
      <c r="S38" s="726">
        <f t="shared" si="14"/>
        <v>0.5067245187508351</v>
      </c>
      <c r="T38" s="726">
        <f t="shared" si="14"/>
        <v>0.003290710793531403</v>
      </c>
      <c r="U38" s="726">
        <f t="shared" si="14"/>
        <v>0.004600767092879105</v>
      </c>
      <c r="V38" s="726">
        <f t="shared" si="14"/>
        <v>0.002095302467049679</v>
      </c>
      <c r="W38" s="726">
        <f t="shared" si="14"/>
        <v>0.0033970176527779406</v>
      </c>
      <c r="X38" s="726">
        <f t="shared" si="14"/>
        <v>0.0068846264689871595</v>
      </c>
      <c r="Y38" s="726">
        <f t="shared" si="14"/>
        <v>0.005086182537439954</v>
      </c>
      <c r="Z38" s="726" t="e">
        <f>Z15/Z24</f>
        <v>#DIV/0!</v>
      </c>
      <c r="AA38" s="726">
        <f>AA15/AA22</f>
        <v>0.005863940190217013</v>
      </c>
      <c r="AB38" s="726">
        <f>AB15/AB24</f>
        <v>0.022707917428963064</v>
      </c>
      <c r="AC38" s="716">
        <f>AC15/AC22</f>
        <v>0.050483117159343456</v>
      </c>
      <c r="AD38" s="21"/>
      <c r="AE38" s="21"/>
    </row>
    <row r="39" spans="1:31" ht="12.75">
      <c r="A39" s="21"/>
      <c r="B39" s="684" t="s">
        <v>181</v>
      </c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8"/>
      <c r="T39" s="728"/>
      <c r="U39" s="728"/>
      <c r="V39" s="728"/>
      <c r="W39" s="728"/>
      <c r="X39" s="728"/>
      <c r="Y39" s="728"/>
      <c r="Z39" s="728"/>
      <c r="AA39" s="728"/>
      <c r="AB39" s="728"/>
      <c r="AC39" s="95"/>
      <c r="AD39" s="21"/>
      <c r="AE39" s="21"/>
    </row>
    <row r="40" spans="1:31" ht="12.75">
      <c r="A40" s="21"/>
      <c r="B40" s="684" t="s">
        <v>182</v>
      </c>
      <c r="C40" s="726">
        <f>C16/C22</f>
        <v>0.018246613124032685</v>
      </c>
      <c r="D40" s="726">
        <f aca="true" t="shared" si="15" ref="D40:Y40">D16/D22</f>
        <v>0.0006982780200524367</v>
      </c>
      <c r="E40" s="726">
        <f t="shared" si="15"/>
        <v>0.0013376400095995342</v>
      </c>
      <c r="F40" s="726">
        <f t="shared" si="15"/>
        <v>0.0023848582667442804</v>
      </c>
      <c r="G40" s="726">
        <f t="shared" si="15"/>
        <v>0.0020954293447417818</v>
      </c>
      <c r="H40" s="726">
        <f t="shared" si="15"/>
        <v>0.005078620959078035</v>
      </c>
      <c r="I40" s="726">
        <f t="shared" si="15"/>
        <v>0.012191935905251241</v>
      </c>
      <c r="J40" s="726">
        <f t="shared" si="15"/>
        <v>0.001009622968922543</v>
      </c>
      <c r="K40" s="726">
        <f t="shared" si="15"/>
        <v>0.031108742612982118</v>
      </c>
      <c r="L40" s="726">
        <f t="shared" si="15"/>
        <v>0.03250202780665577</v>
      </c>
      <c r="M40" s="726">
        <f t="shared" si="15"/>
        <v>0.02415954415954416</v>
      </c>
      <c r="N40" s="726">
        <f t="shared" si="15"/>
        <v>0.033626409386468686</v>
      </c>
      <c r="O40" s="726">
        <f t="shared" si="15"/>
        <v>0.04574846331781368</v>
      </c>
      <c r="P40" s="726">
        <f t="shared" si="15"/>
        <v>0.021044034657873245</v>
      </c>
      <c r="Q40" s="726">
        <f t="shared" si="15"/>
        <v>0.05108956526482299</v>
      </c>
      <c r="R40" s="726">
        <f t="shared" si="15"/>
        <v>0.07672765145358112</v>
      </c>
      <c r="S40" s="726">
        <f t="shared" si="15"/>
        <v>0.017615016388803736</v>
      </c>
      <c r="T40" s="726">
        <f t="shared" si="15"/>
        <v>0.023411056788266264</v>
      </c>
      <c r="U40" s="726">
        <f t="shared" si="15"/>
        <v>0.09256134729078369</v>
      </c>
      <c r="V40" s="726">
        <f t="shared" si="15"/>
        <v>0.20892193308550186</v>
      </c>
      <c r="W40" s="726">
        <f t="shared" si="15"/>
        <v>0.07202848809286744</v>
      </c>
      <c r="X40" s="726">
        <f t="shared" si="15"/>
        <v>0.05614439570057746</v>
      </c>
      <c r="Y40" s="726">
        <f t="shared" si="15"/>
        <v>0.04147869552084653</v>
      </c>
      <c r="Z40" s="726" t="e">
        <f>Z16/Z24</f>
        <v>#DIV/0!</v>
      </c>
      <c r="AA40" s="726">
        <f>AA16/AA22</f>
        <v>0.010198336719991968</v>
      </c>
      <c r="AB40" s="726">
        <f>AB16/AB24</f>
        <v>0.005503612903950253</v>
      </c>
      <c r="AC40" s="716">
        <f>AC16/AC22</f>
        <v>0.02572338998357284</v>
      </c>
      <c r="AD40" s="21"/>
      <c r="AE40" s="21"/>
    </row>
    <row r="41" spans="1:31" ht="12.75">
      <c r="A41" s="21"/>
      <c r="B41" s="684" t="s">
        <v>183</v>
      </c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28"/>
      <c r="AC41" s="95"/>
      <c r="AD41" s="21"/>
      <c r="AE41" s="21"/>
    </row>
    <row r="42" spans="1:31" ht="12.75">
      <c r="A42" s="21"/>
      <c r="B42" s="684" t="s">
        <v>184</v>
      </c>
      <c r="C42" s="726">
        <f>C17/C22</f>
        <v>0.039038150325296124</v>
      </c>
      <c r="D42" s="726">
        <f aca="true" t="shared" si="16" ref="D42:Y42">D17/D22</f>
        <v>0.0007905034189272869</v>
      </c>
      <c r="E42" s="726">
        <f t="shared" si="16"/>
        <v>0.12351138370990522</v>
      </c>
      <c r="F42" s="726">
        <f t="shared" si="16"/>
        <v>0.004134695101515232</v>
      </c>
      <c r="G42" s="726">
        <f t="shared" si="16"/>
        <v>0.003732483520321299</v>
      </c>
      <c r="H42" s="726">
        <f t="shared" si="16"/>
        <v>0.05632060422567308</v>
      </c>
      <c r="I42" s="726">
        <f t="shared" si="16"/>
        <v>0.013128102412261604</v>
      </c>
      <c r="J42" s="726">
        <f t="shared" si="16"/>
        <v>0.00949676605142767</v>
      </c>
      <c r="K42" s="726">
        <f t="shared" si="16"/>
        <v>0.06276942987923832</v>
      </c>
      <c r="L42" s="726">
        <f t="shared" si="16"/>
        <v>0.07037345915254818</v>
      </c>
      <c r="M42" s="726">
        <f t="shared" si="16"/>
        <v>0.024843304843304843</v>
      </c>
      <c r="N42" s="726">
        <f t="shared" si="16"/>
        <v>0.03663651538799935</v>
      </c>
      <c r="O42" s="726">
        <f t="shared" si="16"/>
        <v>0.04066069939005993</v>
      </c>
      <c r="P42" s="726">
        <f t="shared" si="16"/>
        <v>0.032459517712727745</v>
      </c>
      <c r="Q42" s="726">
        <f t="shared" si="16"/>
        <v>0.06477390498009054</v>
      </c>
      <c r="R42" s="726">
        <f t="shared" si="16"/>
        <v>0.06777559043267292</v>
      </c>
      <c r="S42" s="726">
        <f t="shared" si="16"/>
        <v>0.06085473310223941</v>
      </c>
      <c r="T42" s="726">
        <f t="shared" si="16"/>
        <v>0.10502068446784506</v>
      </c>
      <c r="U42" s="726">
        <f t="shared" si="16"/>
        <v>0.12359414789586513</v>
      </c>
      <c r="V42" s="726">
        <f t="shared" si="16"/>
        <v>0.0407119522361158</v>
      </c>
      <c r="W42" s="726">
        <f t="shared" si="16"/>
        <v>0.22649908046246295</v>
      </c>
      <c r="X42" s="726">
        <f t="shared" si="16"/>
        <v>0.06909176299806803</v>
      </c>
      <c r="Y42" s="726">
        <f t="shared" si="16"/>
        <v>0.03138427960362853</v>
      </c>
      <c r="Z42" s="726" t="e">
        <f>Z17/Z24</f>
        <v>#DIV/0!</v>
      </c>
      <c r="AA42" s="726">
        <f>AA17/AA22</f>
        <v>0.027489288117209604</v>
      </c>
      <c r="AB42" s="726">
        <f>AB17/AB24</f>
        <v>0.011784106430880804</v>
      </c>
      <c r="AC42" s="716">
        <f>AC17/AC22</f>
        <v>0.0550471131303525</v>
      </c>
      <c r="AD42" s="21"/>
      <c r="AE42" s="21"/>
    </row>
    <row r="43" spans="1:31" ht="12.75">
      <c r="A43" s="21"/>
      <c r="B43" s="684" t="s">
        <v>185</v>
      </c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8"/>
      <c r="X43" s="728"/>
      <c r="Y43" s="728"/>
      <c r="Z43" s="728"/>
      <c r="AA43" s="728"/>
      <c r="AB43" s="728"/>
      <c r="AC43" s="95"/>
      <c r="AD43" s="21"/>
      <c r="AE43" s="21"/>
    </row>
    <row r="44" spans="1:31" ht="12.75">
      <c r="A44" s="21"/>
      <c r="B44" s="684" t="s">
        <v>186</v>
      </c>
      <c r="C44" s="726">
        <f>C18/C22</f>
        <v>0.05906847671976328</v>
      </c>
      <c r="D44" s="726">
        <f aca="true" t="shared" si="17" ref="D44:Y44">D18/D22</f>
        <v>0.005665274502312223</v>
      </c>
      <c r="E44" s="726">
        <f t="shared" si="17"/>
        <v>0.05249450190613701</v>
      </c>
      <c r="F44" s="726">
        <f t="shared" si="17"/>
        <v>0.014347956465752942</v>
      </c>
      <c r="G44" s="726">
        <f t="shared" si="17"/>
        <v>0.0670319116427293</v>
      </c>
      <c r="H44" s="726">
        <f t="shared" si="17"/>
        <v>0.049809551714034575</v>
      </c>
      <c r="I44" s="726">
        <f t="shared" si="17"/>
        <v>0.015827745362710092</v>
      </c>
      <c r="J44" s="726">
        <f t="shared" si="17"/>
        <v>0.008218961981385076</v>
      </c>
      <c r="K44" s="726">
        <f t="shared" si="17"/>
        <v>0.045535433895111485</v>
      </c>
      <c r="L44" s="726">
        <f t="shared" si="17"/>
        <v>0.045788445500554074</v>
      </c>
      <c r="M44" s="726">
        <f t="shared" si="17"/>
        <v>0.04427350427350427</v>
      </c>
      <c r="N44" s="726">
        <f t="shared" si="17"/>
        <v>0.1289373934109111</v>
      </c>
      <c r="O44" s="726">
        <f t="shared" si="17"/>
        <v>0.14408429123307284</v>
      </c>
      <c r="P44" s="726">
        <f t="shared" si="17"/>
        <v>0.11321530988830143</v>
      </c>
      <c r="Q44" s="726">
        <f t="shared" si="17"/>
        <v>0.08605724649539083</v>
      </c>
      <c r="R44" s="726">
        <f t="shared" si="17"/>
        <v>0.09870143943361809</v>
      </c>
      <c r="S44" s="726">
        <f t="shared" si="17"/>
        <v>0.06954826640255933</v>
      </c>
      <c r="T44" s="726">
        <f t="shared" si="17"/>
        <v>0.23072583678074465</v>
      </c>
      <c r="U44" s="726">
        <f t="shared" si="17"/>
        <v>0.19183140068295434</v>
      </c>
      <c r="V44" s="726">
        <f t="shared" si="17"/>
        <v>0.08191956742142616</v>
      </c>
      <c r="W44" s="726">
        <f t="shared" si="17"/>
        <v>0.2472208881444084</v>
      </c>
      <c r="X44" s="726">
        <f t="shared" si="17"/>
        <v>0.19343131917982218</v>
      </c>
      <c r="Y44" s="726">
        <f t="shared" si="17"/>
        <v>0.10928471904200485</v>
      </c>
      <c r="Z44" s="726" t="e">
        <f>Z18/Z24</f>
        <v>#DIV/0!</v>
      </c>
      <c r="AA44" s="726">
        <f>AA18/AA22</f>
        <v>0.04418527072396269</v>
      </c>
      <c r="AB44" s="726">
        <f>AB18/AB24</f>
        <v>0.009838937231157677</v>
      </c>
      <c r="AC44" s="716">
        <f>AC18/AC22</f>
        <v>0.07243488520383147</v>
      </c>
      <c r="AD44" s="21"/>
      <c r="AE44" s="21"/>
    </row>
    <row r="45" spans="1:31" ht="12.75">
      <c r="A45" s="21"/>
      <c r="B45" s="684" t="s">
        <v>134</v>
      </c>
      <c r="C45" s="726">
        <f>C19/C22</f>
        <v>0.029717077142275596</v>
      </c>
      <c r="D45" s="726">
        <f aca="true" t="shared" si="18" ref="D45:Y45">D19/D22</f>
        <v>0.00014492562680333592</v>
      </c>
      <c r="E45" s="726">
        <f t="shared" si="18"/>
        <v>0.0013494427155665888</v>
      </c>
      <c r="F45" s="726">
        <f t="shared" si="18"/>
        <v>0.03723342329470286</v>
      </c>
      <c r="G45" s="726">
        <f t="shared" si="18"/>
        <v>0.016676125201903348</v>
      </c>
      <c r="H45" s="726">
        <f t="shared" si="18"/>
        <v>0.12094280040368525</v>
      </c>
      <c r="I45" s="726">
        <f t="shared" si="18"/>
        <v>0.013345815553426805</v>
      </c>
      <c r="J45" s="726">
        <f t="shared" si="18"/>
        <v>0.005387285060735132</v>
      </c>
      <c r="K45" s="726">
        <f t="shared" si="18"/>
        <v>0.03917855409533416</v>
      </c>
      <c r="L45" s="726">
        <f t="shared" si="18"/>
        <v>0.037540127723258654</v>
      </c>
      <c r="M45" s="726">
        <f t="shared" si="18"/>
        <v>0.04735042735042735</v>
      </c>
      <c r="N45" s="726">
        <f t="shared" si="18"/>
        <v>0.12327574258320728</v>
      </c>
      <c r="O45" s="726">
        <f t="shared" si="18"/>
        <v>0.08532653387208415</v>
      </c>
      <c r="P45" s="726">
        <f t="shared" si="18"/>
        <v>0.162666028038244</v>
      </c>
      <c r="Q45" s="726">
        <f t="shared" si="18"/>
        <v>0.03462335678830524</v>
      </c>
      <c r="R45" s="726">
        <f t="shared" si="18"/>
        <v>0.04470612316157657</v>
      </c>
      <c r="S45" s="726">
        <f t="shared" si="18"/>
        <v>0.021458721437498527</v>
      </c>
      <c r="T45" s="726">
        <f t="shared" si="18"/>
        <v>0.017017675817976682</v>
      </c>
      <c r="U45" s="726">
        <f t="shared" si="18"/>
        <v>0.021598542792056964</v>
      </c>
      <c r="V45" s="726">
        <f t="shared" si="18"/>
        <v>0.024422665314858625</v>
      </c>
      <c r="W45" s="726">
        <f t="shared" si="18"/>
        <v>0.010823601072989025</v>
      </c>
      <c r="X45" s="726">
        <f t="shared" si="18"/>
        <v>0.030078879673807464</v>
      </c>
      <c r="Y45" s="726">
        <f t="shared" si="18"/>
        <v>0.055889546043593065</v>
      </c>
      <c r="Z45" s="726" t="e">
        <f>Z19/Z24</f>
        <v>#DIV/0!</v>
      </c>
      <c r="AA45" s="726">
        <f>AA19/AA22</f>
        <v>0.02021539976299031</v>
      </c>
      <c r="AB45" s="726">
        <f>AB19/AB24</f>
        <v>0.00034745476551214686</v>
      </c>
      <c r="AC45" s="716">
        <f>AC19/AC22</f>
        <v>0.030189101936870716</v>
      </c>
      <c r="AD45" s="21"/>
      <c r="AE45" s="21"/>
    </row>
    <row r="46" spans="1:31" ht="12.75">
      <c r="A46" s="21"/>
      <c r="B46" s="684" t="s">
        <v>187</v>
      </c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728"/>
      <c r="U46" s="728"/>
      <c r="V46" s="728"/>
      <c r="W46" s="728"/>
      <c r="X46" s="728"/>
      <c r="Y46" s="728"/>
      <c r="Z46" s="728"/>
      <c r="AA46" s="728"/>
      <c r="AB46" s="728"/>
      <c r="AC46" s="95"/>
      <c r="AD46" s="21"/>
      <c r="AE46" s="21"/>
    </row>
    <row r="47" spans="1:31" ht="12.75">
      <c r="A47" s="21"/>
      <c r="B47" s="684" t="s">
        <v>188</v>
      </c>
      <c r="C47" s="726">
        <f>C20/C22</f>
        <v>0.0035606708766803626</v>
      </c>
      <c r="D47" s="726">
        <f aca="true" t="shared" si="19" ref="D47:Y47">D20/D22</f>
        <v>0.0007114530770345582</v>
      </c>
      <c r="E47" s="726">
        <f t="shared" si="19"/>
        <v>0.00010622435370349242</v>
      </c>
      <c r="F47" s="726">
        <f t="shared" si="19"/>
        <v>0.0008819742110740682</v>
      </c>
      <c r="G47" s="726">
        <f t="shared" si="19"/>
        <v>0.0009822325053477103</v>
      </c>
      <c r="H47" s="726">
        <f t="shared" si="19"/>
        <v>0.00745515512582609</v>
      </c>
      <c r="I47" s="726">
        <f t="shared" si="19"/>
        <v>0.001480449359923365</v>
      </c>
      <c r="J47" s="726">
        <f t="shared" si="19"/>
        <v>0.00326549929010885</v>
      </c>
      <c r="K47" s="726">
        <f t="shared" si="19"/>
        <v>0.004463138661819704</v>
      </c>
      <c r="L47" s="726">
        <f t="shared" si="19"/>
        <v>0.0035643700090251676</v>
      </c>
      <c r="M47" s="726">
        <f t="shared" si="19"/>
        <v>0.008945868945868947</v>
      </c>
      <c r="N47" s="726">
        <f t="shared" si="19"/>
        <v>0.004947541596109461</v>
      </c>
      <c r="O47" s="726">
        <f t="shared" si="19"/>
        <v>0.006714665183721522</v>
      </c>
      <c r="P47" s="726">
        <f t="shared" si="19"/>
        <v>0.003113313560414863</v>
      </c>
      <c r="Q47" s="726">
        <f t="shared" si="19"/>
        <v>0.0041012109311078385</v>
      </c>
      <c r="R47" s="726">
        <f t="shared" si="19"/>
        <v>0.005207486740474513</v>
      </c>
      <c r="S47" s="726">
        <f t="shared" si="19"/>
        <v>0.002656794082737913</v>
      </c>
      <c r="T47" s="726">
        <f t="shared" si="19"/>
        <v>0.006299360661902971</v>
      </c>
      <c r="U47" s="726">
        <f t="shared" si="19"/>
        <v>0.011927085897395733</v>
      </c>
      <c r="V47" s="726">
        <f t="shared" si="19"/>
        <v>0.01689760054072322</v>
      </c>
      <c r="W47" s="726">
        <f t="shared" si="19"/>
        <v>0.009148519954550247</v>
      </c>
      <c r="X47" s="726">
        <f t="shared" si="19"/>
        <v>0.012104133978033239</v>
      </c>
      <c r="Y47" s="726">
        <f t="shared" si="19"/>
        <v>0.011858015609318822</v>
      </c>
      <c r="Z47" s="726" t="e">
        <f>Z20/Z24</f>
        <v>#DIV/0!</v>
      </c>
      <c r="AA47" s="726">
        <f>AA20/AA22</f>
        <v>0.003004554783199315</v>
      </c>
      <c r="AB47" s="726">
        <f>AB20/AB24</f>
        <v>0.033894003838685384</v>
      </c>
      <c r="AC47" s="716">
        <f>AC20/AC22</f>
        <v>0.049606406287387696</v>
      </c>
      <c r="AD47" s="21"/>
      <c r="AE47" s="21"/>
    </row>
    <row r="48" spans="1:31" ht="12.75">
      <c r="A48" s="21"/>
      <c r="B48" s="735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17"/>
      <c r="AD48" s="21"/>
      <c r="AE48" s="21"/>
    </row>
    <row r="49" spans="1:31" ht="12.75">
      <c r="A49" s="21"/>
      <c r="B49" s="729" t="s">
        <v>189</v>
      </c>
      <c r="C49" s="730">
        <f>SUM(C31:C47)</f>
        <v>0.30895787995925683</v>
      </c>
      <c r="D49" s="730">
        <f aca="true" t="shared" si="20" ref="D49:Y49">SUM(D31:D47)</f>
        <v>0.08640202368875247</v>
      </c>
      <c r="E49" s="730">
        <f t="shared" si="20"/>
        <v>0.3522045487628797</v>
      </c>
      <c r="F49" s="730">
        <f t="shared" si="20"/>
        <v>0.15917517771780354</v>
      </c>
      <c r="G49" s="730">
        <f t="shared" si="20"/>
        <v>0.17064652726240886</v>
      </c>
      <c r="H49" s="730">
        <f t="shared" si="20"/>
        <v>0.4084708793176417</v>
      </c>
      <c r="I49" s="730">
        <f t="shared" si="20"/>
        <v>0.21869285030044416</v>
      </c>
      <c r="J49" s="730">
        <f t="shared" si="20"/>
        <v>0.1368117999684493</v>
      </c>
      <c r="K49" s="730">
        <f t="shared" si="20"/>
        <v>0.513698695317035</v>
      </c>
      <c r="L49" s="730">
        <f t="shared" si="20"/>
        <v>0.568379925285321</v>
      </c>
      <c r="M49" s="730">
        <f t="shared" si="20"/>
        <v>0.24096866096866096</v>
      </c>
      <c r="N49" s="730">
        <f t="shared" si="20"/>
        <v>0.5025792299672776</v>
      </c>
      <c r="O49" s="730">
        <f t="shared" si="20"/>
        <v>0.5462187856809025</v>
      </c>
      <c r="P49" s="730">
        <f t="shared" si="20"/>
        <v>0.45728251324846947</v>
      </c>
      <c r="Q49" s="730">
        <f t="shared" si="20"/>
        <v>0.7652866415753012</v>
      </c>
      <c r="R49" s="730">
        <f t="shared" si="20"/>
        <v>0.7278139994100188</v>
      </c>
      <c r="S49" s="730">
        <f t="shared" si="20"/>
        <v>0.8142130623088955</v>
      </c>
      <c r="T49" s="730">
        <f t="shared" si="20"/>
        <v>0.6818352764197066</v>
      </c>
      <c r="U49" s="730">
        <f t="shared" si="20"/>
        <v>0.5847449662326969</v>
      </c>
      <c r="V49" s="730">
        <f t="shared" si="20"/>
        <v>0.5370958657204009</v>
      </c>
      <c r="W49" s="730">
        <f t="shared" si="20"/>
        <v>0.6759128020710093</v>
      </c>
      <c r="X49" s="730">
        <f t="shared" si="20"/>
        <v>0.5242456263942703</v>
      </c>
      <c r="Y49" s="730">
        <f t="shared" si="20"/>
        <v>0.43398193528271184</v>
      </c>
      <c r="Z49" s="730"/>
      <c r="AA49" s="730">
        <f>SUM(AA31:AA47)</f>
        <v>0.2260531643351186</v>
      </c>
      <c r="AB49" s="730">
        <f>AB22/AB24</f>
        <v>0.269292040863632</v>
      </c>
      <c r="AC49" s="718">
        <f>SUM(AC31:AC47)</f>
        <v>0.6747178202653363</v>
      </c>
      <c r="AD49" s="21"/>
      <c r="AE49" s="21"/>
    </row>
    <row r="50" spans="1:31" ht="13.5" thickBot="1">
      <c r="A50" s="21"/>
      <c r="B50" s="674" t="s">
        <v>161</v>
      </c>
      <c r="C50" s="734">
        <f>C21/C22</f>
        <v>0.6910421200407432</v>
      </c>
      <c r="D50" s="734">
        <f aca="true" t="shared" si="21" ref="D50:Y50">D21/D22</f>
        <v>0.9135979763112475</v>
      </c>
      <c r="E50" s="734">
        <f t="shared" si="21"/>
        <v>0.6477954512371203</v>
      </c>
      <c r="F50" s="734">
        <f t="shared" si="21"/>
        <v>0.8408248222821965</v>
      </c>
      <c r="G50" s="734">
        <f t="shared" si="21"/>
        <v>0.8293534727375911</v>
      </c>
      <c r="H50" s="734">
        <f t="shared" si="21"/>
        <v>0.5915291206823583</v>
      </c>
      <c r="I50" s="734">
        <f t="shared" si="21"/>
        <v>0.7813071496995558</v>
      </c>
      <c r="J50" s="734">
        <f t="shared" si="21"/>
        <v>0.8631882000315507</v>
      </c>
      <c r="K50" s="734">
        <f t="shared" si="21"/>
        <v>0.4863013046829649</v>
      </c>
      <c r="L50" s="734">
        <f t="shared" si="21"/>
        <v>0.43162007471467906</v>
      </c>
      <c r="M50" s="734">
        <f t="shared" si="21"/>
        <v>0.759031339031339</v>
      </c>
      <c r="N50" s="734">
        <f t="shared" si="21"/>
        <v>0.49742077003272245</v>
      </c>
      <c r="O50" s="734">
        <f t="shared" si="21"/>
        <v>0.45378121431909746</v>
      </c>
      <c r="P50" s="734">
        <f t="shared" si="21"/>
        <v>0.5427174867515305</v>
      </c>
      <c r="Q50" s="734">
        <f t="shared" si="21"/>
        <v>0.23471335842469862</v>
      </c>
      <c r="R50" s="734">
        <f t="shared" si="21"/>
        <v>0.27218600058998116</v>
      </c>
      <c r="S50" s="734">
        <f t="shared" si="21"/>
        <v>0.18578693769110446</v>
      </c>
      <c r="T50" s="734">
        <f t="shared" si="21"/>
        <v>0.31816472358029335</v>
      </c>
      <c r="U50" s="734">
        <f t="shared" si="21"/>
        <v>0.4152550337673032</v>
      </c>
      <c r="V50" s="734">
        <f t="shared" si="21"/>
        <v>0.462904134279599</v>
      </c>
      <c r="W50" s="734">
        <f t="shared" si="21"/>
        <v>0.3240871979289906</v>
      </c>
      <c r="X50" s="734">
        <f t="shared" si="21"/>
        <v>0.4757543736057297</v>
      </c>
      <c r="Y50" s="734">
        <f t="shared" si="21"/>
        <v>0.5660180647172881</v>
      </c>
      <c r="Z50" s="734" t="e">
        <f>Z21/Z24</f>
        <v>#DIV/0!</v>
      </c>
      <c r="AA50" s="734">
        <f>AA21/AA22</f>
        <v>0.7739468356648814</v>
      </c>
      <c r="AB50" s="734">
        <f>AB21/AB24</f>
        <v>0.730707959136368</v>
      </c>
      <c r="AC50" s="719">
        <f>AC21/AC22</f>
        <v>0.32528217973466367</v>
      </c>
      <c r="AD50" s="21"/>
      <c r="AE50" s="21"/>
    </row>
    <row r="51" spans="2:29" s="155" customFormat="1" ht="16.5" thickBot="1" thickTop="1">
      <c r="B51" s="732" t="s">
        <v>162</v>
      </c>
      <c r="C51" s="733">
        <f>SUM(C49:C50)</f>
        <v>1</v>
      </c>
      <c r="D51" s="733">
        <f aca="true" t="shared" si="22" ref="D51:Y51">SUM(D49:D50)</f>
        <v>1</v>
      </c>
      <c r="E51" s="733">
        <f t="shared" si="22"/>
        <v>1</v>
      </c>
      <c r="F51" s="733">
        <f t="shared" si="22"/>
        <v>1</v>
      </c>
      <c r="G51" s="733">
        <f t="shared" si="22"/>
        <v>1</v>
      </c>
      <c r="H51" s="733">
        <f t="shared" si="22"/>
        <v>1</v>
      </c>
      <c r="I51" s="733">
        <f t="shared" si="22"/>
        <v>1</v>
      </c>
      <c r="J51" s="733">
        <f t="shared" si="22"/>
        <v>1</v>
      </c>
      <c r="K51" s="733">
        <f t="shared" si="22"/>
        <v>1</v>
      </c>
      <c r="L51" s="733">
        <f t="shared" si="22"/>
        <v>1</v>
      </c>
      <c r="M51" s="733">
        <f t="shared" si="22"/>
        <v>1</v>
      </c>
      <c r="N51" s="733">
        <f t="shared" si="22"/>
        <v>1</v>
      </c>
      <c r="O51" s="733">
        <f t="shared" si="22"/>
        <v>1</v>
      </c>
      <c r="P51" s="733">
        <f t="shared" si="22"/>
        <v>1</v>
      </c>
      <c r="Q51" s="733">
        <f t="shared" si="22"/>
        <v>0.9999999999999999</v>
      </c>
      <c r="R51" s="733">
        <f t="shared" si="22"/>
        <v>1</v>
      </c>
      <c r="S51" s="733">
        <f t="shared" si="22"/>
        <v>0.9999999999999999</v>
      </c>
      <c r="T51" s="733">
        <f t="shared" si="22"/>
        <v>1</v>
      </c>
      <c r="U51" s="733">
        <f t="shared" si="22"/>
        <v>1</v>
      </c>
      <c r="V51" s="733">
        <f t="shared" si="22"/>
        <v>0.9999999999999999</v>
      </c>
      <c r="W51" s="733">
        <f t="shared" si="22"/>
        <v>1</v>
      </c>
      <c r="X51" s="733">
        <f t="shared" si="22"/>
        <v>1</v>
      </c>
      <c r="Y51" s="733">
        <f t="shared" si="22"/>
        <v>1</v>
      </c>
      <c r="Z51" s="733" t="e">
        <f>#REF!/#REF!</f>
        <v>#REF!</v>
      </c>
      <c r="AA51" s="733">
        <f>SUM(AA49:AA50)</f>
        <v>1</v>
      </c>
      <c r="AB51" s="733">
        <v>1</v>
      </c>
      <c r="AC51" s="720">
        <f>SUM(AC49:AC50)</f>
        <v>1</v>
      </c>
    </row>
    <row r="52" spans="1:31" ht="12.75">
      <c r="A52" s="21"/>
      <c r="B52" s="70" t="s">
        <v>190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32"/>
      <c r="T52" s="21"/>
      <c r="U52" s="21"/>
      <c r="V52" s="21"/>
      <c r="W52" s="21"/>
      <c r="X52" s="21"/>
      <c r="Y52" s="21"/>
      <c r="Z52" s="21"/>
      <c r="AA52" s="21"/>
      <c r="AB52" s="21"/>
      <c r="AC52" s="94"/>
      <c r="AD52" s="21"/>
      <c r="AE52" s="21"/>
    </row>
    <row r="53" spans="1:3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32"/>
      <c r="T53" s="21"/>
      <c r="U53" s="21"/>
      <c r="V53" s="21"/>
      <c r="W53" s="21"/>
      <c r="X53" s="21"/>
      <c r="Y53" s="21"/>
      <c r="Z53" s="21"/>
      <c r="AA53" s="21"/>
      <c r="AB53" s="21"/>
      <c r="AC53" s="94"/>
      <c r="AD53" s="21"/>
      <c r="AE53" s="21"/>
    </row>
    <row r="54" spans="1:31" ht="13.5" customHeight="1">
      <c r="A54" s="18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94"/>
      <c r="AD54" s="21"/>
      <c r="AE54" s="32"/>
    </row>
    <row r="55" spans="1:31" ht="13.5" thickBot="1">
      <c r="A55" s="1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94"/>
      <c r="AD55" s="21"/>
      <c r="AE55" s="32"/>
    </row>
    <row r="56" spans="1:31" ht="13.5" thickBot="1">
      <c r="A56" s="18"/>
      <c r="B56" s="92"/>
      <c r="C56" s="93"/>
      <c r="D56" s="141" t="s">
        <v>191</v>
      </c>
      <c r="E56" s="147"/>
      <c r="F56" s="147"/>
      <c r="G56" s="148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49"/>
      <c r="AB56" s="105" t="s">
        <v>119</v>
      </c>
      <c r="AC56" s="105" t="s">
        <v>165</v>
      </c>
      <c r="AD56" s="21"/>
      <c r="AE56" s="32"/>
    </row>
    <row r="57" spans="1:31" ht="15">
      <c r="A57" s="18"/>
      <c r="B57" s="84" t="s">
        <v>52</v>
      </c>
      <c r="C57" s="86"/>
      <c r="D57" s="86" t="s">
        <v>166</v>
      </c>
      <c r="E57" s="86" t="s">
        <v>167</v>
      </c>
      <c r="F57" s="86" t="s">
        <v>123</v>
      </c>
      <c r="G57" s="86" t="s">
        <v>124</v>
      </c>
      <c r="H57" s="86" t="s">
        <v>125</v>
      </c>
      <c r="I57" s="86" t="s">
        <v>168</v>
      </c>
      <c r="J57" s="86" t="s">
        <v>127</v>
      </c>
      <c r="K57" s="86" t="s">
        <v>128</v>
      </c>
      <c r="L57" s="21"/>
      <c r="M57" s="86" t="s">
        <v>129</v>
      </c>
      <c r="N57" s="86" t="s">
        <v>169</v>
      </c>
      <c r="O57" s="86" t="s">
        <v>131</v>
      </c>
      <c r="P57" s="86" t="s">
        <v>97</v>
      </c>
      <c r="Q57" s="80" t="s">
        <v>132</v>
      </c>
      <c r="R57" s="86" t="s">
        <v>133</v>
      </c>
      <c r="S57" s="86" t="s">
        <v>76</v>
      </c>
      <c r="T57" s="86" t="s">
        <v>134</v>
      </c>
      <c r="U57" s="80" t="s">
        <v>135</v>
      </c>
      <c r="V57" s="86" t="s">
        <v>136</v>
      </c>
      <c r="W57" s="86" t="s">
        <v>137</v>
      </c>
      <c r="X57" s="86" t="s">
        <v>77</v>
      </c>
      <c r="Y57" s="86" t="s">
        <v>138</v>
      </c>
      <c r="Z57" s="86"/>
      <c r="AA57" s="86" t="s">
        <v>192</v>
      </c>
      <c r="AB57" s="86"/>
      <c r="AC57" s="88" t="s">
        <v>171</v>
      </c>
      <c r="AD57" s="102"/>
      <c r="AE57" s="67"/>
    </row>
    <row r="58" spans="1:31" ht="15">
      <c r="A58" s="18"/>
      <c r="B58" s="84"/>
      <c r="C58" s="86"/>
      <c r="D58" s="86" t="s">
        <v>172</v>
      </c>
      <c r="E58" s="86" t="s">
        <v>173</v>
      </c>
      <c r="F58" s="86"/>
      <c r="G58" s="86"/>
      <c r="H58" s="86"/>
      <c r="I58" s="86" t="s">
        <v>174</v>
      </c>
      <c r="J58" s="86"/>
      <c r="K58" s="86"/>
      <c r="L58" s="86"/>
      <c r="M58" s="86" t="s">
        <v>143</v>
      </c>
      <c r="N58" s="86" t="s">
        <v>175</v>
      </c>
      <c r="O58" s="86"/>
      <c r="P58" s="86"/>
      <c r="Q58" s="86" t="s">
        <v>144</v>
      </c>
      <c r="R58" s="86"/>
      <c r="S58" s="86"/>
      <c r="T58" s="86"/>
      <c r="U58" s="86" t="s">
        <v>145</v>
      </c>
      <c r="V58" s="86"/>
      <c r="W58" s="86"/>
      <c r="X58" s="86"/>
      <c r="Y58" s="86" t="s">
        <v>193</v>
      </c>
      <c r="Z58" s="86"/>
      <c r="AA58" s="86" t="s">
        <v>194</v>
      </c>
      <c r="AB58" s="86"/>
      <c r="AC58" s="151" t="s">
        <v>176</v>
      </c>
      <c r="AD58" s="102"/>
      <c r="AE58" s="67"/>
    </row>
    <row r="59" spans="1:31" ht="13.5" thickBot="1">
      <c r="A59" s="18"/>
      <c r="B59" s="87"/>
      <c r="C59" s="83"/>
      <c r="D59" s="83" t="s">
        <v>178</v>
      </c>
      <c r="E59" s="83"/>
      <c r="F59" s="83"/>
      <c r="G59" s="83"/>
      <c r="H59" s="83"/>
      <c r="I59" s="83" t="s">
        <v>142</v>
      </c>
      <c r="J59" s="83"/>
      <c r="K59" s="83"/>
      <c r="L59" s="83"/>
      <c r="M59" s="83"/>
      <c r="N59" s="83" t="s">
        <v>179</v>
      </c>
      <c r="O59" s="83"/>
      <c r="P59" s="83"/>
      <c r="Q59" s="83" t="s">
        <v>76</v>
      </c>
      <c r="R59" s="83"/>
      <c r="S59" s="83"/>
      <c r="T59" s="83"/>
      <c r="U59" s="83" t="s">
        <v>80</v>
      </c>
      <c r="V59" s="83" t="s">
        <v>146</v>
      </c>
      <c r="W59" s="83" t="s">
        <v>147</v>
      </c>
      <c r="X59" s="83" t="s">
        <v>148</v>
      </c>
      <c r="Y59" s="83" t="s">
        <v>195</v>
      </c>
      <c r="Z59" s="83"/>
      <c r="AA59" s="83"/>
      <c r="AB59" s="83"/>
      <c r="AC59" s="83"/>
      <c r="AD59" s="102"/>
      <c r="AE59" s="67"/>
    </row>
    <row r="60" spans="1:31" ht="12.75">
      <c r="A60" s="18"/>
      <c r="B60" s="88" t="s">
        <v>177</v>
      </c>
      <c r="C60" s="110"/>
      <c r="D60" s="86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21"/>
      <c r="AE60" s="32"/>
    </row>
    <row r="61" spans="1:31" ht="12.75">
      <c r="A61" s="18"/>
      <c r="B61" s="88" t="s">
        <v>180</v>
      </c>
      <c r="C61" s="110"/>
      <c r="D61" s="86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21"/>
      <c r="AE61" s="32"/>
    </row>
    <row r="62" spans="1:31" ht="12.75">
      <c r="A62" s="18"/>
      <c r="B62" s="152" t="s">
        <v>150</v>
      </c>
      <c r="C62" s="109"/>
      <c r="D62" s="109">
        <f>D8/D24</f>
        <v>7.649938800489595E-05</v>
      </c>
      <c r="E62" s="153" t="s">
        <v>19</v>
      </c>
      <c r="F62" s="109">
        <f>F8/F24</f>
        <v>9.792353151424052E-06</v>
      </c>
      <c r="G62" s="153" t="s">
        <v>19</v>
      </c>
      <c r="H62" s="109">
        <f aca="true" t="shared" si="23" ref="H62:Y62">H8/H24</f>
        <v>9.573347799725564E-05</v>
      </c>
      <c r="I62" s="109">
        <f t="shared" si="23"/>
        <v>0.00012514861397910017</v>
      </c>
      <c r="J62" s="109">
        <f t="shared" si="23"/>
        <v>3.317013626291977E-05</v>
      </c>
      <c r="K62" s="109">
        <f t="shared" si="23"/>
        <v>0.00037902237495420144</v>
      </c>
      <c r="L62" s="109">
        <f t="shared" si="23"/>
        <v>0.0003988582083097062</v>
      </c>
      <c r="M62" s="109">
        <f t="shared" si="23"/>
        <v>0.00023842773936441977</v>
      </c>
      <c r="N62" s="109">
        <f t="shared" si="23"/>
        <v>0.0003545615210047925</v>
      </c>
      <c r="O62" s="109">
        <f t="shared" si="23"/>
        <v>0.0004815719633724098</v>
      </c>
      <c r="P62" s="109">
        <f t="shared" si="23"/>
        <v>0.00021626007858087457</v>
      </c>
      <c r="Q62" s="109">
        <f t="shared" si="23"/>
        <v>0.0005452840651931125</v>
      </c>
      <c r="R62" s="109">
        <f t="shared" si="23"/>
        <v>0.0007639235884229543</v>
      </c>
      <c r="S62" s="109">
        <f t="shared" si="23"/>
        <v>0.00015145155497475087</v>
      </c>
      <c r="T62" s="109">
        <f t="shared" si="23"/>
        <v>0.00020090406830738323</v>
      </c>
      <c r="U62" s="109">
        <f t="shared" si="23"/>
        <v>0.00044488980205912405</v>
      </c>
      <c r="V62" s="109">
        <f t="shared" si="23"/>
        <v>0.00030242806532446213</v>
      </c>
      <c r="W62" s="109">
        <f t="shared" si="23"/>
        <v>0.0004992959147452226</v>
      </c>
      <c r="X62" s="109">
        <f t="shared" si="23"/>
        <v>0.0004523491312840547</v>
      </c>
      <c r="Y62" s="109">
        <f t="shared" si="23"/>
        <v>0.004121191948566123</v>
      </c>
      <c r="Z62" s="87"/>
      <c r="AA62" s="109" t="e">
        <f>AA8/AA24</f>
        <v>#DIV/0!</v>
      </c>
      <c r="AB62" s="109">
        <v>0.002485440506392061</v>
      </c>
      <c r="AC62" s="154">
        <f>AC8/AC24</f>
        <v>0.0018355029042340567</v>
      </c>
      <c r="AD62" s="21"/>
      <c r="AE62" s="32"/>
    </row>
    <row r="63" spans="1:31" ht="12.75">
      <c r="A63" s="18"/>
      <c r="B63" s="152" t="s">
        <v>151</v>
      </c>
      <c r="C63" s="109"/>
      <c r="D63" s="109">
        <f aca="true" t="shared" si="24" ref="D63:Y63">D9/D24</f>
        <v>6.557090400419654E-05</v>
      </c>
      <c r="E63" s="109">
        <f t="shared" si="24"/>
        <v>0.0002910609280247905</v>
      </c>
      <c r="F63" s="109">
        <f t="shared" si="24"/>
        <v>0.002908328885972944</v>
      </c>
      <c r="G63" s="109">
        <f t="shared" si="24"/>
        <v>0.00043395243881270615</v>
      </c>
      <c r="H63" s="109">
        <f t="shared" si="24"/>
        <v>0.006174809330822989</v>
      </c>
      <c r="I63" s="109">
        <f t="shared" si="24"/>
        <v>0.00012514861397910017</v>
      </c>
      <c r="J63" s="109">
        <f t="shared" si="24"/>
        <v>0.00011941249054651117</v>
      </c>
      <c r="K63" s="109">
        <f t="shared" si="24"/>
        <v>0.003348030978762113</v>
      </c>
      <c r="L63" s="109">
        <f t="shared" si="24"/>
        <v>0.0037723336569050526</v>
      </c>
      <c r="M63" s="109">
        <f t="shared" si="24"/>
        <v>0.0003406110562348854</v>
      </c>
      <c r="N63" s="109">
        <f t="shared" si="24"/>
        <v>0.00569772118637934</v>
      </c>
      <c r="O63" s="109">
        <f t="shared" si="24"/>
        <v>0.009877497934864756</v>
      </c>
      <c r="P63" s="109">
        <f t="shared" si="24"/>
        <v>0.0011463697970791494</v>
      </c>
      <c r="Q63" s="109">
        <f t="shared" si="24"/>
        <v>0.007799261317733781</v>
      </c>
      <c r="R63" s="109">
        <f t="shared" si="24"/>
        <v>0.008422377676134836</v>
      </c>
      <c r="S63" s="109">
        <f t="shared" si="24"/>
        <v>0.006676849980744017</v>
      </c>
      <c r="T63" s="109">
        <f t="shared" si="24"/>
        <v>0.07443495730788549</v>
      </c>
      <c r="U63" s="109">
        <f t="shared" si="24"/>
        <v>0.007652946658133764</v>
      </c>
      <c r="V63" s="109">
        <f t="shared" si="24"/>
        <v>0.008977793139203319</v>
      </c>
      <c r="W63" s="109">
        <f t="shared" si="24"/>
        <v>0.007657170942538062</v>
      </c>
      <c r="X63" s="109">
        <f t="shared" si="24"/>
        <v>0.00719940078426765</v>
      </c>
      <c r="Y63" s="109">
        <f t="shared" si="24"/>
        <v>0.0409579034038155</v>
      </c>
      <c r="Z63" s="109" t="e">
        <f>Z37/Z54</f>
        <v>#DIV/0!</v>
      </c>
      <c r="AA63" s="109" t="e">
        <f>AA9/AA24</f>
        <v>#DIV/0!</v>
      </c>
      <c r="AB63" s="109">
        <v>0.003962524292558196</v>
      </c>
      <c r="AC63" s="154">
        <f>AC9/AC24</f>
        <v>0.007502970391624156</v>
      </c>
      <c r="AD63" s="21"/>
      <c r="AE63" s="32"/>
    </row>
    <row r="64" spans="1:31" ht="12.75">
      <c r="A64" s="18"/>
      <c r="B64" s="152" t="s">
        <v>128</v>
      </c>
      <c r="C64" s="109"/>
      <c r="D64" s="109">
        <f aca="true" t="shared" si="25" ref="D64:Y64">D10/D24</f>
        <v>0.002502622836160168</v>
      </c>
      <c r="E64" s="109">
        <f t="shared" si="25"/>
        <v>0.0038735176135630016</v>
      </c>
      <c r="F64" s="109">
        <f t="shared" si="25"/>
        <v>0.001471301061001464</v>
      </c>
      <c r="G64" s="109">
        <f t="shared" si="25"/>
        <v>0.0019672510559509346</v>
      </c>
      <c r="H64" s="109">
        <f t="shared" si="25"/>
        <v>0.0033506717299039476</v>
      </c>
      <c r="I64" s="109">
        <f t="shared" si="25"/>
        <v>0.003832676303109943</v>
      </c>
      <c r="J64" s="109">
        <f t="shared" si="25"/>
        <v>0.0010747124149186006</v>
      </c>
      <c r="K64" s="109">
        <f t="shared" si="25"/>
        <v>0.118899319023133</v>
      </c>
      <c r="L64" s="109">
        <f t="shared" si="25"/>
        <v>0.13344450104279795</v>
      </c>
      <c r="M64" s="109">
        <f t="shared" si="25"/>
        <v>0.015804353009298684</v>
      </c>
      <c r="N64" s="109">
        <f t="shared" si="25"/>
        <v>0.012515930073505092</v>
      </c>
      <c r="O64" s="109">
        <f t="shared" si="25"/>
        <v>0.015250364694096349</v>
      </c>
      <c r="P64" s="109">
        <f t="shared" si="25"/>
        <v>0.009538409129620166</v>
      </c>
      <c r="Q64" s="109">
        <f t="shared" si="25"/>
        <v>0.014469336653438766</v>
      </c>
      <c r="R64" s="109">
        <f t="shared" si="25"/>
        <v>0.012472614060037667</v>
      </c>
      <c r="S64" s="109">
        <f t="shared" si="25"/>
        <v>0.018066006914845282</v>
      </c>
      <c r="T64" s="109">
        <f t="shared" si="25"/>
        <v>0.010447011551983928</v>
      </c>
      <c r="U64" s="109">
        <f t="shared" si="25"/>
        <v>0.013861755756902107</v>
      </c>
      <c r="V64" s="109">
        <f t="shared" si="25"/>
        <v>0.02060831245139549</v>
      </c>
      <c r="W64" s="109">
        <f t="shared" si="25"/>
        <v>0.011776362239186147</v>
      </c>
      <c r="X64" s="109">
        <f t="shared" si="25"/>
        <v>0.013138686131386862</v>
      </c>
      <c r="Y64" s="109">
        <f t="shared" si="25"/>
        <v>0.00927158698736927</v>
      </c>
      <c r="Z64" s="109" t="e">
        <f>Z38/Z54</f>
        <v>#DIV/0!</v>
      </c>
      <c r="AA64" s="109" t="e">
        <f>AA10/AA24</f>
        <v>#DIV/0!</v>
      </c>
      <c r="AB64" s="109">
        <v>0.01778451869253702</v>
      </c>
      <c r="AC64" s="154">
        <f>AC10/AC24</f>
        <v>0.019028708965560828</v>
      </c>
      <c r="AD64" s="21"/>
      <c r="AE64" s="32"/>
    </row>
    <row r="65" spans="1:31" ht="12.75">
      <c r="A65" s="18"/>
      <c r="B65" s="152" t="s">
        <v>153</v>
      </c>
      <c r="C65" s="109"/>
      <c r="D65" s="153" t="s">
        <v>19</v>
      </c>
      <c r="E65" s="153" t="s">
        <v>19</v>
      </c>
      <c r="F65" s="153" t="s">
        <v>19</v>
      </c>
      <c r="G65" s="153" t="s">
        <v>19</v>
      </c>
      <c r="H65" s="153" t="s">
        <v>19</v>
      </c>
      <c r="I65" s="153" t="s">
        <v>19</v>
      </c>
      <c r="J65" s="153" t="s">
        <v>19</v>
      </c>
      <c r="K65" s="109">
        <f>K11/K24</f>
        <v>0.002893204128817071</v>
      </c>
      <c r="L65" s="109">
        <f>L11/L24</f>
        <v>0.0003892471671456169</v>
      </c>
      <c r="M65" s="109">
        <f>M11/M24</f>
        <v>0.020641030007834054</v>
      </c>
      <c r="N65" s="153" t="s">
        <v>19</v>
      </c>
      <c r="O65" s="153" t="s">
        <v>19</v>
      </c>
      <c r="P65" s="153" t="s">
        <v>19</v>
      </c>
      <c r="Q65" s="153" t="s">
        <v>19</v>
      </c>
      <c r="R65" s="153" t="s">
        <v>19</v>
      </c>
      <c r="S65" s="153" t="s">
        <v>19</v>
      </c>
      <c r="T65" s="109">
        <f>T11/T24</f>
        <v>0.0049556336849154526</v>
      </c>
      <c r="U65" s="153" t="s">
        <v>19</v>
      </c>
      <c r="V65" s="153" t="s">
        <v>19</v>
      </c>
      <c r="W65" s="153" t="s">
        <v>19</v>
      </c>
      <c r="X65" s="153" t="s">
        <v>19</v>
      </c>
      <c r="Y65" s="153" t="s">
        <v>19</v>
      </c>
      <c r="Z65" s="109"/>
      <c r="AA65" s="109" t="e">
        <f>AA11/AA24</f>
        <v>#DIV/0!</v>
      </c>
      <c r="AB65" s="109">
        <v>0.0002949996831841358</v>
      </c>
      <c r="AC65" s="154">
        <f>AC11/AC24</f>
        <v>0.00024707449111109327</v>
      </c>
      <c r="AD65" s="21"/>
      <c r="AE65" s="32"/>
    </row>
    <row r="66" spans="1:31" ht="12.75">
      <c r="A66" s="18"/>
      <c r="B66" s="152" t="s">
        <v>154</v>
      </c>
      <c r="C66" s="109"/>
      <c r="D66" s="109">
        <f aca="true" t="shared" si="26" ref="D66:Y66">D12/D24</f>
        <v>0.053888354607448855</v>
      </c>
      <c r="E66" s="109">
        <f t="shared" si="26"/>
        <v>0.039715591893187206</v>
      </c>
      <c r="F66" s="109">
        <f t="shared" si="26"/>
        <v>0.05506974603532102</v>
      </c>
      <c r="G66" s="109">
        <f t="shared" si="26"/>
        <v>0.042628594572701496</v>
      </c>
      <c r="H66" s="109">
        <f t="shared" si="26"/>
        <v>0.06334365127485081</v>
      </c>
      <c r="I66" s="109">
        <f t="shared" si="26"/>
        <v>0.10373255741192666</v>
      </c>
      <c r="J66" s="109">
        <f t="shared" si="26"/>
        <v>0.08228847404105136</v>
      </c>
      <c r="K66" s="109">
        <f t="shared" si="26"/>
        <v>0.007972103953203372</v>
      </c>
      <c r="L66" s="109">
        <f t="shared" si="26"/>
        <v>0.008640326006516286</v>
      </c>
      <c r="M66" s="109">
        <f t="shared" si="26"/>
        <v>0.003235805034231411</v>
      </c>
      <c r="N66" s="109">
        <f t="shared" si="26"/>
        <v>0.01540556066071211</v>
      </c>
      <c r="O66" s="109">
        <f t="shared" si="26"/>
        <v>0.025389739353568728</v>
      </c>
      <c r="P66" s="109">
        <f t="shared" si="26"/>
        <v>0.0045338064261778045</v>
      </c>
      <c r="Q66" s="109">
        <f t="shared" si="26"/>
        <v>0.003826256740746004</v>
      </c>
      <c r="R66" s="109">
        <f t="shared" si="26"/>
        <v>0.004355325364184956</v>
      </c>
      <c r="S66" s="109">
        <f t="shared" si="26"/>
        <v>0.0028732523572352737</v>
      </c>
      <c r="T66" s="109">
        <f t="shared" si="26"/>
        <v>0.00890674702829399</v>
      </c>
      <c r="U66" s="109">
        <f t="shared" si="26"/>
        <v>0.010920149999438624</v>
      </c>
      <c r="V66" s="109">
        <f t="shared" si="26"/>
        <v>0.02344249546357902</v>
      </c>
      <c r="W66" s="109">
        <f t="shared" si="26"/>
        <v>0.004809623928756714</v>
      </c>
      <c r="X66" s="109">
        <f t="shared" si="26"/>
        <v>0.011264668301781492</v>
      </c>
      <c r="Y66" s="109">
        <f t="shared" si="26"/>
        <v>0.013011754813166793</v>
      </c>
      <c r="Z66" s="109" t="e">
        <f>Z42/Z54</f>
        <v>#DIV/0!</v>
      </c>
      <c r="AA66" s="109" t="e">
        <f>AA12/AA24</f>
        <v>#DIV/0!</v>
      </c>
      <c r="AB66" s="109">
        <v>0.04626329724306033</v>
      </c>
      <c r="AC66" s="154">
        <f>AC12/AC24</f>
        <v>0.05257216649494343</v>
      </c>
      <c r="AD66" s="21"/>
      <c r="AE66" s="32"/>
    </row>
    <row r="67" spans="1:31" ht="12.75">
      <c r="A67" s="18"/>
      <c r="B67" s="152" t="s">
        <v>155</v>
      </c>
      <c r="C67" s="109"/>
      <c r="D67" s="90" t="s">
        <v>19</v>
      </c>
      <c r="E67" s="109">
        <f aca="true" t="shared" si="27" ref="E67:AC67">E13/E24</f>
        <v>0.040225495624238154</v>
      </c>
      <c r="F67" s="109">
        <f t="shared" si="27"/>
        <v>0.001858099010482714</v>
      </c>
      <c r="G67" s="109">
        <f t="shared" si="27"/>
        <v>0.00017358097552508245</v>
      </c>
      <c r="H67" s="109">
        <f t="shared" si="27"/>
        <v>0.0007339566646456265</v>
      </c>
      <c r="I67" s="109">
        <f t="shared" si="27"/>
        <v>0.00025029722795820035</v>
      </c>
      <c r="J67" s="109">
        <f t="shared" si="27"/>
        <v>0.0003117992808714458</v>
      </c>
      <c r="K67" s="109">
        <f t="shared" si="27"/>
        <v>0.00032427469857192794</v>
      </c>
      <c r="L67" s="109">
        <f t="shared" si="27"/>
        <v>0.00033158092016108106</v>
      </c>
      <c r="M67" s="109">
        <f t="shared" si="27"/>
        <v>0.0002724888449879083</v>
      </c>
      <c r="N67" s="109">
        <f t="shared" si="27"/>
        <v>0.0031186754974168317</v>
      </c>
      <c r="O67" s="109">
        <f t="shared" si="27"/>
        <v>0.0026222823698964794</v>
      </c>
      <c r="P67" s="109">
        <f t="shared" si="27"/>
        <v>0.0036591970818286032</v>
      </c>
      <c r="Q67" s="109">
        <f t="shared" si="27"/>
        <v>0.00038463380236001415</v>
      </c>
      <c r="R67" s="109">
        <f t="shared" si="27"/>
        <v>0.00031710035745858477</v>
      </c>
      <c r="S67" s="109">
        <f t="shared" si="27"/>
        <v>0.0005062809123441671</v>
      </c>
      <c r="T67" s="109">
        <f t="shared" si="27"/>
        <v>0.0006027122049221497</v>
      </c>
      <c r="U67" s="109">
        <f t="shared" si="27"/>
        <v>0.001103102159048806</v>
      </c>
      <c r="V67" s="109">
        <f t="shared" si="27"/>
        <v>0.0002419424522595697</v>
      </c>
      <c r="W67" s="109">
        <f t="shared" si="27"/>
        <v>0.00024574720803866425</v>
      </c>
      <c r="X67" s="109">
        <f t="shared" si="27"/>
        <v>0.002041445754820896</v>
      </c>
      <c r="Y67" s="109">
        <f t="shared" si="27"/>
        <v>0.001427745563477743</v>
      </c>
      <c r="Z67" s="109" t="e">
        <f t="shared" si="27"/>
        <v>#DIV/0!</v>
      </c>
      <c r="AA67" s="109" t="e">
        <f t="shared" si="27"/>
        <v>#DIV/0!</v>
      </c>
      <c r="AB67" s="109">
        <f t="shared" si="27"/>
        <v>0.0780082468372553</v>
      </c>
      <c r="AC67" s="154">
        <f t="shared" si="27"/>
        <v>0.048618235446467026</v>
      </c>
      <c r="AD67" s="21"/>
      <c r="AE67" s="32"/>
    </row>
    <row r="68" spans="1:31" ht="12.75">
      <c r="A68" s="18"/>
      <c r="B68" s="152" t="s">
        <v>133</v>
      </c>
      <c r="C68" s="109"/>
      <c r="D68" s="109">
        <f aca="true" t="shared" si="28" ref="D68:Y68">D14/D24</f>
        <v>0.005092673544325931</v>
      </c>
      <c r="E68" s="109">
        <f t="shared" si="28"/>
        <v>0.006420847840787484</v>
      </c>
      <c r="F68" s="109">
        <f t="shared" si="28"/>
        <v>0.006551084258302691</v>
      </c>
      <c r="G68" s="109">
        <f t="shared" si="28"/>
        <v>0.006552681826071862</v>
      </c>
      <c r="H68" s="109">
        <f t="shared" si="28"/>
        <v>0.007706544978779079</v>
      </c>
      <c r="I68" s="109">
        <f t="shared" si="28"/>
        <v>0.007571491145735561</v>
      </c>
      <c r="J68" s="109">
        <f t="shared" si="28"/>
        <v>0.006720269606867545</v>
      </c>
      <c r="K68" s="109">
        <f t="shared" si="28"/>
        <v>0.01038521307374512</v>
      </c>
      <c r="L68" s="109">
        <f t="shared" si="28"/>
        <v>0.01065864465097504</v>
      </c>
      <c r="M68" s="109">
        <f t="shared" si="28"/>
        <v>0.008447154194625158</v>
      </c>
      <c r="N68" s="109">
        <f t="shared" si="28"/>
        <v>0.013877373019792229</v>
      </c>
      <c r="O68" s="109">
        <f t="shared" si="28"/>
        <v>0.011220275234195125</v>
      </c>
      <c r="P68" s="109">
        <f t="shared" si="28"/>
        <v>0.016770682023046053</v>
      </c>
      <c r="Q68" s="109">
        <f t="shared" si="28"/>
        <v>0.10915567473882747</v>
      </c>
      <c r="R68" s="109">
        <f t="shared" si="28"/>
        <v>0.1440836760579621</v>
      </c>
      <c r="S68" s="109">
        <f t="shared" si="28"/>
        <v>0.046240323327433934</v>
      </c>
      <c r="T68" s="109">
        <f t="shared" si="28"/>
        <v>0.005893186003683241</v>
      </c>
      <c r="U68" s="109">
        <f t="shared" si="28"/>
        <v>0.009490046818687056</v>
      </c>
      <c r="V68" s="109">
        <f t="shared" si="28"/>
        <v>0.00860623865894755</v>
      </c>
      <c r="W68" s="109">
        <f t="shared" si="28"/>
        <v>0.010574931444330455</v>
      </c>
      <c r="X68" s="109">
        <f t="shared" si="28"/>
        <v>0.008973549325147968</v>
      </c>
      <c r="Y68" s="109">
        <f t="shared" si="28"/>
        <v>0.011667221414431618</v>
      </c>
      <c r="Z68" s="87"/>
      <c r="AA68" s="109" t="e">
        <f>AA14/AA24</f>
        <v>#DIV/0!</v>
      </c>
      <c r="AB68" s="109">
        <v>0.036416981009495655</v>
      </c>
      <c r="AC68" s="154">
        <f>AC14/AC24</f>
        <v>0.03607629445920208</v>
      </c>
      <c r="AD68" s="21"/>
      <c r="AE68" s="32"/>
    </row>
    <row r="69" spans="1:31" ht="12.75">
      <c r="A69" s="18"/>
      <c r="B69" s="152" t="s">
        <v>76</v>
      </c>
      <c r="C69" s="109"/>
      <c r="D69" s="109">
        <f aca="true" t="shared" si="29" ref="D69:Y69">D15/D24</f>
        <v>0.0033987585242175205</v>
      </c>
      <c r="E69" s="109">
        <f t="shared" si="29"/>
        <v>0.00593063996200889</v>
      </c>
      <c r="F69" s="109">
        <f t="shared" si="29"/>
        <v>0.001657355770878521</v>
      </c>
      <c r="G69" s="109">
        <f t="shared" si="29"/>
        <v>0.001345252560319389</v>
      </c>
      <c r="H69" s="109">
        <f t="shared" si="29"/>
        <v>0.0013562242716277882</v>
      </c>
      <c r="I69" s="109">
        <f t="shared" si="29"/>
        <v>0.0012827732932857768</v>
      </c>
      <c r="J69" s="109">
        <f t="shared" si="29"/>
        <v>0.0014926561318313895</v>
      </c>
      <c r="K69" s="109">
        <f t="shared" si="29"/>
        <v>0.0021225252997435283</v>
      </c>
      <c r="L69" s="109">
        <f t="shared" si="29"/>
        <v>0.0016242659567310927</v>
      </c>
      <c r="M69" s="109">
        <f t="shared" si="29"/>
        <v>0.005654143533499098</v>
      </c>
      <c r="N69" s="109">
        <f t="shared" si="29"/>
        <v>0.0022886167428164644</v>
      </c>
      <c r="O69" s="109">
        <f t="shared" si="29"/>
        <v>0.0016116842715784663</v>
      </c>
      <c r="P69" s="109">
        <f t="shared" si="29"/>
        <v>0.0030257272941271035</v>
      </c>
      <c r="Q69" s="109">
        <f t="shared" si="29"/>
        <v>0.10153868968084663</v>
      </c>
      <c r="R69" s="109">
        <f t="shared" si="29"/>
        <v>0.0030436829765153554</v>
      </c>
      <c r="S69" s="109">
        <f t="shared" si="29"/>
        <v>0.2789564555143511</v>
      </c>
      <c r="T69" s="109">
        <f t="shared" si="29"/>
        <v>0.0011719403984597355</v>
      </c>
      <c r="U69" s="109">
        <f t="shared" si="29"/>
        <v>0.0014427341215040362</v>
      </c>
      <c r="V69" s="109">
        <f t="shared" si="29"/>
        <v>0.0008035945735764279</v>
      </c>
      <c r="W69" s="109">
        <f t="shared" si="29"/>
        <v>0.0011312173068446449</v>
      </c>
      <c r="X69" s="109">
        <f t="shared" si="29"/>
        <v>0.0018945791537546446</v>
      </c>
      <c r="Y69" s="109">
        <f t="shared" si="29"/>
        <v>0.0022861447366116006</v>
      </c>
      <c r="Z69" s="109" t="e">
        <f>Z47/Z54</f>
        <v>#DIV/0!</v>
      </c>
      <c r="AA69" s="109" t="e">
        <f>AA15/AA24</f>
        <v>#DIV/0!</v>
      </c>
      <c r="AB69" s="109">
        <v>0.022707917428963064</v>
      </c>
      <c r="AC69" s="154">
        <f>AC15/AC24</f>
        <v>0.021404560270699025</v>
      </c>
      <c r="AD69" s="21"/>
      <c r="AE69" s="32"/>
    </row>
    <row r="70" spans="1:31" ht="12.75">
      <c r="A70" s="18"/>
      <c r="B70" s="152" t="s">
        <v>181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54"/>
      <c r="AD70" s="21"/>
      <c r="AE70" s="32"/>
    </row>
    <row r="71" spans="1:31" ht="12.75">
      <c r="A71" s="18"/>
      <c r="B71" s="152" t="s">
        <v>182</v>
      </c>
      <c r="C71" s="109"/>
      <c r="D71" s="109">
        <f aca="true" t="shared" si="30" ref="D71:Y71">D16/D24</f>
        <v>0.0005792096520370694</v>
      </c>
      <c r="E71" s="109">
        <f t="shared" si="30"/>
        <v>0.0007440655302889381</v>
      </c>
      <c r="F71" s="109">
        <f t="shared" si="30"/>
        <v>0.001654907682590665</v>
      </c>
      <c r="G71" s="109">
        <f t="shared" si="30"/>
        <v>0.0013886478042006596</v>
      </c>
      <c r="H71" s="109">
        <f t="shared" si="30"/>
        <v>0.002489070427928647</v>
      </c>
      <c r="I71" s="109">
        <f t="shared" si="30"/>
        <v>0.008760402978537012</v>
      </c>
      <c r="J71" s="109">
        <f t="shared" si="30"/>
        <v>0.000849155488330746</v>
      </c>
      <c r="K71" s="109">
        <f t="shared" si="30"/>
        <v>0.01376693493028094</v>
      </c>
      <c r="L71" s="109">
        <f t="shared" si="30"/>
        <v>0.013671706055917037</v>
      </c>
      <c r="M71" s="109">
        <f t="shared" si="30"/>
        <v>0.01444190878435914</v>
      </c>
      <c r="N71" s="109">
        <f t="shared" si="30"/>
        <v>0.01022456479176611</v>
      </c>
      <c r="O71" s="109">
        <f t="shared" si="30"/>
        <v>0.01359122625094469</v>
      </c>
      <c r="P71" s="109">
        <f t="shared" si="30"/>
        <v>0.006558613179616435</v>
      </c>
      <c r="Q71" s="109">
        <f t="shared" si="30"/>
        <v>0.02314908498862318</v>
      </c>
      <c r="R71" s="109">
        <f t="shared" si="30"/>
        <v>0.030617000422800477</v>
      </c>
      <c r="S71" s="109">
        <f t="shared" si="30"/>
        <v>0.009697226705669047</v>
      </c>
      <c r="T71" s="109">
        <f t="shared" si="30"/>
        <v>0.008337518834756403</v>
      </c>
      <c r="U71" s="109">
        <f t="shared" si="30"/>
        <v>0.029025901849169727</v>
      </c>
      <c r="V71" s="109">
        <f t="shared" si="30"/>
        <v>0.08012615570724964</v>
      </c>
      <c r="W71" s="109">
        <f t="shared" si="30"/>
        <v>0.023985707654440417</v>
      </c>
      <c r="X71" s="109">
        <f t="shared" si="30"/>
        <v>0.01545036643216966</v>
      </c>
      <c r="Y71" s="109">
        <f t="shared" si="30"/>
        <v>0.018643904489953227</v>
      </c>
      <c r="Z71" s="109" t="e">
        <f>Z48/Z54</f>
        <v>#DIV/0!</v>
      </c>
      <c r="AA71" s="109" t="e">
        <f>AA16/AA24</f>
        <v>#DIV/0!</v>
      </c>
      <c r="AB71" s="109">
        <v>0.005503612903950253</v>
      </c>
      <c r="AC71" s="154">
        <f>AC16/AC24</f>
        <v>0.010906573964761116</v>
      </c>
      <c r="AD71" s="21"/>
      <c r="AE71" s="32"/>
    </row>
    <row r="72" spans="1:31" ht="12.75">
      <c r="A72" s="18"/>
      <c r="B72" s="152" t="s">
        <v>183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54"/>
      <c r="AD72" s="21"/>
      <c r="AE72" s="32"/>
    </row>
    <row r="73" spans="1:31" ht="12.75">
      <c r="A73" s="18"/>
      <c r="B73" s="152" t="s">
        <v>184</v>
      </c>
      <c r="C73" s="109"/>
      <c r="D73" s="109">
        <f aca="true" t="shared" si="31" ref="D73:Y73">D17/D24</f>
        <v>0.0006557090400419654</v>
      </c>
      <c r="E73" s="109">
        <f t="shared" si="31"/>
        <v>0.06870350958203213</v>
      </c>
      <c r="F73" s="109">
        <f t="shared" si="31"/>
        <v>0.0028691594733672473</v>
      </c>
      <c r="G73" s="109">
        <f t="shared" si="31"/>
        <v>0.002473528901232425</v>
      </c>
      <c r="H73" s="109">
        <f t="shared" si="31"/>
        <v>0.027603152822542044</v>
      </c>
      <c r="I73" s="109">
        <f t="shared" si="31"/>
        <v>0.009433076778674675</v>
      </c>
      <c r="J73" s="109">
        <f t="shared" si="31"/>
        <v>0.00798736881211108</v>
      </c>
      <c r="K73" s="109">
        <f t="shared" si="31"/>
        <v>0.027778128724421255</v>
      </c>
      <c r="L73" s="109">
        <f t="shared" si="31"/>
        <v>0.02960200678539506</v>
      </c>
      <c r="M73" s="109">
        <f t="shared" si="31"/>
        <v>0.014850642051841003</v>
      </c>
      <c r="N73" s="109">
        <f t="shared" si="31"/>
        <v>0.011139828252964529</v>
      </c>
      <c r="O73" s="109">
        <f t="shared" si="31"/>
        <v>0.012079723008242966</v>
      </c>
      <c r="P73" s="109">
        <f t="shared" si="31"/>
        <v>0.010116378543172592</v>
      </c>
      <c r="Q73" s="109">
        <f t="shared" si="31"/>
        <v>0.029349567248354493</v>
      </c>
      <c r="R73" s="109">
        <f t="shared" si="31"/>
        <v>0.027044816850520813</v>
      </c>
      <c r="S73" s="109">
        <f t="shared" si="31"/>
        <v>0.03350108396041489</v>
      </c>
      <c r="T73" s="109">
        <f t="shared" si="31"/>
        <v>0.03740164071655784</v>
      </c>
      <c r="U73" s="109">
        <f t="shared" si="31"/>
        <v>0.03875733998001504</v>
      </c>
      <c r="V73" s="109">
        <f t="shared" si="31"/>
        <v>0.015613928972608658</v>
      </c>
      <c r="W73" s="109">
        <f t="shared" si="31"/>
        <v>0.07542488912120018</v>
      </c>
      <c r="X73" s="109">
        <f t="shared" si="31"/>
        <v>0.019013350174036922</v>
      </c>
      <c r="Y73" s="109">
        <f t="shared" si="31"/>
        <v>0.014106651717674263</v>
      </c>
      <c r="Z73" s="109" t="e">
        <f>Z49/Z54</f>
        <v>#DIV/0!</v>
      </c>
      <c r="AA73" s="109" t="e">
        <f>AA17/AA24</f>
        <v>#DIV/0!</v>
      </c>
      <c r="AB73" s="109">
        <v>0.011784106430880804</v>
      </c>
      <c r="AC73" s="154">
        <f>AC17/AC24</f>
        <v>0.023339669121611378</v>
      </c>
      <c r="AD73" s="21"/>
      <c r="AE73" s="32"/>
    </row>
    <row r="74" spans="1:31" ht="12.75">
      <c r="A74" s="18"/>
      <c r="B74" s="152" t="s">
        <v>185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54"/>
      <c r="AD74" s="21"/>
      <c r="AE74" s="32"/>
    </row>
    <row r="75" spans="1:31" ht="12.75">
      <c r="A75" s="18"/>
      <c r="B75" s="152" t="s">
        <v>186</v>
      </c>
      <c r="C75" s="109"/>
      <c r="D75" s="109">
        <f aca="true" t="shared" si="32" ref="D75:Y75">D18/D24</f>
        <v>0.004699248120300752</v>
      </c>
      <c r="E75" s="109">
        <f t="shared" si="32"/>
        <v>0.029200195207780298</v>
      </c>
      <c r="F75" s="109">
        <f t="shared" si="32"/>
        <v>0.009956375066710406</v>
      </c>
      <c r="G75" s="109">
        <f t="shared" si="32"/>
        <v>0.044422264653127354</v>
      </c>
      <c r="H75" s="109">
        <f t="shared" si="32"/>
        <v>0.024412036889300187</v>
      </c>
      <c r="I75" s="109">
        <f t="shared" si="32"/>
        <v>0.011372880295350728</v>
      </c>
      <c r="J75" s="109">
        <f t="shared" si="32"/>
        <v>0.00691265639719248</v>
      </c>
      <c r="K75" s="109">
        <f t="shared" si="32"/>
        <v>0.02015135626839838</v>
      </c>
      <c r="L75" s="109">
        <f t="shared" si="32"/>
        <v>0.019260526492834967</v>
      </c>
      <c r="M75" s="109">
        <f t="shared" si="32"/>
        <v>0.026465479069450595</v>
      </c>
      <c r="N75" s="109">
        <f t="shared" si="32"/>
        <v>0.039205159190793495</v>
      </c>
      <c r="O75" s="109">
        <f t="shared" si="32"/>
        <v>0.042805420320930807</v>
      </c>
      <c r="P75" s="109">
        <f t="shared" si="32"/>
        <v>0.03528484131677508</v>
      </c>
      <c r="Q75" s="109">
        <f t="shared" si="32"/>
        <v>0.0389932171605375</v>
      </c>
      <c r="R75" s="109">
        <f t="shared" si="32"/>
        <v>0.039385305761617403</v>
      </c>
      <c r="S75" s="109">
        <f t="shared" si="32"/>
        <v>0.03828695309761702</v>
      </c>
      <c r="T75" s="109">
        <f t="shared" si="32"/>
        <v>0.08216976393771974</v>
      </c>
      <c r="U75" s="109">
        <f t="shared" si="32"/>
        <v>0.060155557052555944</v>
      </c>
      <c r="V75" s="109">
        <f t="shared" si="32"/>
        <v>0.031417955586278405</v>
      </c>
      <c r="W75" s="109">
        <f t="shared" si="32"/>
        <v>0.08232531469295251</v>
      </c>
      <c r="X75" s="109">
        <f t="shared" si="32"/>
        <v>0.053230330890452204</v>
      </c>
      <c r="Y75" s="109">
        <f t="shared" si="32"/>
        <v>0.049121454723823205</v>
      </c>
      <c r="Z75" s="109" t="e">
        <f>Z50/Z54</f>
        <v>#DIV/0!</v>
      </c>
      <c r="AA75" s="109" t="e">
        <f>AA18/AA24</f>
        <v>#DIV/0!</v>
      </c>
      <c r="AB75" s="109">
        <v>0.009838937231157677</v>
      </c>
      <c r="AC75" s="154">
        <f>AC18/AC24</f>
        <v>0.030711987557202964</v>
      </c>
      <c r="AD75" s="21"/>
      <c r="AE75" s="32"/>
    </row>
    <row r="76" spans="1:31" ht="12.75">
      <c r="A76" s="18"/>
      <c r="B76" s="152" t="s">
        <v>134</v>
      </c>
      <c r="C76" s="109"/>
      <c r="D76" s="109">
        <f aca="true" t="shared" si="33" ref="D76:Y76">D19/D24</f>
        <v>0.00012021332400769365</v>
      </c>
      <c r="E76" s="109">
        <f t="shared" si="33"/>
        <v>0.0007506308143797229</v>
      </c>
      <c r="F76" s="109">
        <f t="shared" si="33"/>
        <v>0.025837123790032362</v>
      </c>
      <c r="G76" s="109">
        <f t="shared" si="33"/>
        <v>0.01105132210843025</v>
      </c>
      <c r="H76" s="109">
        <f t="shared" si="33"/>
        <v>0.05927497845996745</v>
      </c>
      <c r="I76" s="109">
        <f t="shared" si="33"/>
        <v>0.009589512546148551</v>
      </c>
      <c r="J76" s="109">
        <f t="shared" si="33"/>
        <v>0.0045310406135148406</v>
      </c>
      <c r="K76" s="109">
        <f t="shared" si="33"/>
        <v>0.01733816797429386</v>
      </c>
      <c r="L76" s="109">
        <f t="shared" si="33"/>
        <v>0.01579094063259873</v>
      </c>
      <c r="M76" s="109">
        <f t="shared" si="33"/>
        <v>0.028304778773118974</v>
      </c>
      <c r="N76" s="109">
        <f t="shared" si="33"/>
        <v>0.03748365764565653</v>
      </c>
      <c r="O76" s="109">
        <f t="shared" si="33"/>
        <v>0.025349315429636008</v>
      </c>
      <c r="P76" s="109">
        <f t="shared" si="33"/>
        <v>0.050696721076171396</v>
      </c>
      <c r="Q76" s="109">
        <f t="shared" si="33"/>
        <v>0.015688116051278327</v>
      </c>
      <c r="R76" s="109">
        <f t="shared" si="33"/>
        <v>0.017839297382480686</v>
      </c>
      <c r="S76" s="109">
        <f t="shared" si="33"/>
        <v>0.011813221288030567</v>
      </c>
      <c r="T76" s="109">
        <f t="shared" si="33"/>
        <v>0.006060606060606061</v>
      </c>
      <c r="U76" s="109">
        <f t="shared" si="33"/>
        <v>0.006772991119045213</v>
      </c>
      <c r="V76" s="109">
        <f t="shared" si="33"/>
        <v>0.009366629223191912</v>
      </c>
      <c r="W76" s="109">
        <f t="shared" si="33"/>
        <v>0.0036042923845670755</v>
      </c>
      <c r="X76" s="109">
        <f t="shared" si="33"/>
        <v>0.008277401636093936</v>
      </c>
      <c r="Y76" s="109">
        <f t="shared" si="33"/>
        <v>0.025121314577019428</v>
      </c>
      <c r="Z76" s="109" t="e">
        <f>Z89/Z54</f>
        <v>#DIV/0!</v>
      </c>
      <c r="AA76" s="109" t="e">
        <f>AA19/AA24</f>
        <v>#DIV/0!</v>
      </c>
      <c r="AB76" s="109">
        <v>0.00034745476551214686</v>
      </c>
      <c r="AC76" s="154">
        <f>AC19/AC24</f>
        <v>0.012800010940022344</v>
      </c>
      <c r="AD76" s="21"/>
      <c r="AE76" s="32"/>
    </row>
    <row r="77" spans="1:31" ht="12.75">
      <c r="A77" s="18"/>
      <c r="B77" s="152" t="s">
        <v>187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54"/>
      <c r="AD77" s="21"/>
      <c r="AE77" s="32"/>
    </row>
    <row r="78" spans="1:31" ht="12.75">
      <c r="A78" s="18"/>
      <c r="B78" s="152" t="s">
        <v>188</v>
      </c>
      <c r="C78" s="109"/>
      <c r="D78" s="109">
        <f aca="true" t="shared" si="34" ref="D78:Y78">D20/D24</f>
        <v>0.0005901381360377689</v>
      </c>
      <c r="E78" s="109">
        <f t="shared" si="34"/>
        <v>5.908755681706273E-05</v>
      </c>
      <c r="F78" s="109">
        <f t="shared" si="34"/>
        <v>0.0006120220719640033</v>
      </c>
      <c r="G78" s="109">
        <f t="shared" si="34"/>
        <v>0.0006509286582190592</v>
      </c>
      <c r="H78" s="109">
        <f t="shared" si="34"/>
        <v>0.0036538277435619235</v>
      </c>
      <c r="I78" s="109">
        <f t="shared" si="34"/>
        <v>0.0010637632188223516</v>
      </c>
      <c r="J78" s="109">
        <f t="shared" si="34"/>
        <v>0.002746487282569757</v>
      </c>
      <c r="K78" s="109">
        <f t="shared" si="34"/>
        <v>0.001975127709483561</v>
      </c>
      <c r="L78" s="109">
        <f t="shared" si="34"/>
        <v>0.0014993224215979317</v>
      </c>
      <c r="M78" s="109">
        <f t="shared" si="34"/>
        <v>0.0053475935828877</v>
      </c>
      <c r="N78" s="109">
        <f t="shared" si="34"/>
        <v>0.0015043669702580603</v>
      </c>
      <c r="O78" s="109">
        <f t="shared" si="34"/>
        <v>0.0019948327679842523</v>
      </c>
      <c r="P78" s="109">
        <f t="shared" si="34"/>
        <v>0.0009702996446062248</v>
      </c>
      <c r="Q78" s="109">
        <f t="shared" si="34"/>
        <v>0.0018582910210405504</v>
      </c>
      <c r="R78" s="109">
        <f t="shared" si="34"/>
        <v>0.002077968251527847</v>
      </c>
      <c r="S78" s="109">
        <f t="shared" si="34"/>
        <v>0.001462589302327594</v>
      </c>
      <c r="T78" s="109">
        <f t="shared" si="34"/>
        <v>0.0022434287627657794</v>
      </c>
      <c r="U78" s="109">
        <f t="shared" si="34"/>
        <v>0.0037401619005916894</v>
      </c>
      <c r="V78" s="109">
        <f t="shared" si="34"/>
        <v>0.006480601399809902</v>
      </c>
      <c r="W78" s="109">
        <f t="shared" si="34"/>
        <v>0.003046485229812647</v>
      </c>
      <c r="X78" s="109">
        <f t="shared" si="34"/>
        <v>0.0033309345121825843</v>
      </c>
      <c r="Y78" s="109">
        <f t="shared" si="34"/>
        <v>0.005329958131142371</v>
      </c>
      <c r="Z78" s="109" t="e">
        <f>Z82/Z54</f>
        <v>#DIV/0!</v>
      </c>
      <c r="AA78" s="109" t="e">
        <f>AA20/AA24</f>
        <v>#DIV/0!</v>
      </c>
      <c r="AB78" s="109">
        <v>0.033894003838685384</v>
      </c>
      <c r="AC78" s="154">
        <f>AC20/AC24</f>
        <v>0.02103283974798402</v>
      </c>
      <c r="AD78" s="21"/>
      <c r="AE78" s="32"/>
    </row>
    <row r="79" spans="1:31" ht="12.75">
      <c r="A79" s="18"/>
      <c r="B79" s="152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54"/>
      <c r="AD79" s="21"/>
      <c r="AE79" s="32"/>
    </row>
    <row r="80" spans="1:31" s="99" customFormat="1" ht="14.25" customHeight="1">
      <c r="A80" s="139"/>
      <c r="B80" s="156" t="s">
        <v>189</v>
      </c>
      <c r="C80" s="154"/>
      <c r="D80" s="154">
        <f aca="true" t="shared" si="35" ref="D80:Y80">SUM(D62:D78)</f>
        <v>0.07166899807658682</v>
      </c>
      <c r="E80" s="154">
        <f t="shared" si="35"/>
        <v>0.1959146425531077</v>
      </c>
      <c r="F80" s="154">
        <f t="shared" si="35"/>
        <v>0.11045529545977546</v>
      </c>
      <c r="G80" s="154">
        <f t="shared" si="35"/>
        <v>0.11308800555459121</v>
      </c>
      <c r="H80" s="154">
        <f t="shared" si="35"/>
        <v>0.20019465807192777</v>
      </c>
      <c r="I80" s="154">
        <f t="shared" si="35"/>
        <v>0.15713972842750762</v>
      </c>
      <c r="J80" s="154">
        <f t="shared" si="35"/>
        <v>0.11506720269606865</v>
      </c>
      <c r="K80" s="154">
        <f t="shared" si="35"/>
        <v>0.22733340913780833</v>
      </c>
      <c r="L80" s="154">
        <f t="shared" si="35"/>
        <v>0.23908425999788555</v>
      </c>
      <c r="M80" s="154">
        <f t="shared" si="35"/>
        <v>0.144044415681733</v>
      </c>
      <c r="N80" s="154">
        <f t="shared" si="35"/>
        <v>0.1528160155530656</v>
      </c>
      <c r="O80" s="154">
        <f t="shared" si="35"/>
        <v>0.16227393359931103</v>
      </c>
      <c r="P80" s="154">
        <f t="shared" si="35"/>
        <v>0.1425173055908015</v>
      </c>
      <c r="Q80" s="154">
        <f t="shared" si="35"/>
        <v>0.3467574134689798</v>
      </c>
      <c r="R80" s="154">
        <f t="shared" si="35"/>
        <v>0.29042308874966366</v>
      </c>
      <c r="S80" s="154">
        <f t="shared" si="35"/>
        <v>0.4482316949159877</v>
      </c>
      <c r="T80" s="154">
        <f t="shared" si="35"/>
        <v>0.24282605056085724</v>
      </c>
      <c r="U80" s="154">
        <f t="shared" si="35"/>
        <v>0.18336757721715113</v>
      </c>
      <c r="V80" s="154">
        <f t="shared" si="35"/>
        <v>0.2059880756934244</v>
      </c>
      <c r="W80" s="154">
        <f t="shared" si="35"/>
        <v>0.22508103806741275</v>
      </c>
      <c r="X80" s="154">
        <f t="shared" si="35"/>
        <v>0.14426706222737887</v>
      </c>
      <c r="Y80" s="154">
        <f t="shared" si="35"/>
        <v>0.19506683250705117</v>
      </c>
      <c r="Z80" s="154"/>
      <c r="AA80" s="154" t="e">
        <f>SUM(AA62:AA78)</f>
        <v>#DIV/0!</v>
      </c>
      <c r="AB80" s="154">
        <v>0.269292040863632</v>
      </c>
      <c r="AC80" s="154">
        <f>SUM(AC62:AC78)</f>
        <v>0.2860765947554235</v>
      </c>
      <c r="AD80" s="94"/>
      <c r="AE80" s="146"/>
    </row>
    <row r="81" spans="1:31" s="21" customFormat="1" ht="12.75">
      <c r="A81" s="18"/>
      <c r="B81" s="88" t="s">
        <v>161</v>
      </c>
      <c r="C81" s="228"/>
      <c r="D81" s="109">
        <f aca="true" t="shared" si="36" ref="D81:Y81">D21/D24</f>
        <v>0.7578138660605</v>
      </c>
      <c r="E81" s="109">
        <f t="shared" si="36"/>
        <v>0.3603378057507512</v>
      </c>
      <c r="F81" s="109">
        <f t="shared" si="36"/>
        <v>0.5834675701744507</v>
      </c>
      <c r="G81" s="109">
        <f t="shared" si="36"/>
        <v>0.5496152288375861</v>
      </c>
      <c r="H81" s="109">
        <f t="shared" si="36"/>
        <v>0.2899128825350225</v>
      </c>
      <c r="I81" s="109">
        <f t="shared" si="36"/>
        <v>0.561401038733496</v>
      </c>
      <c r="J81" s="109">
        <f t="shared" si="36"/>
        <v>0.725994772386525</v>
      </c>
      <c r="K81" s="109">
        <f t="shared" si="36"/>
        <v>0.2152089044989956</v>
      </c>
      <c r="L81" s="109">
        <f t="shared" si="36"/>
        <v>0.18155737311022904</v>
      </c>
      <c r="M81" s="109">
        <f t="shared" si="36"/>
        <v>0.4537279880104908</v>
      </c>
      <c r="N81" s="109">
        <f t="shared" si="36"/>
        <v>0.15124751600794878</v>
      </c>
      <c r="O81" s="109">
        <f t="shared" si="36"/>
        <v>0.13481202875371284</v>
      </c>
      <c r="P81" s="109">
        <f t="shared" si="36"/>
        <v>0.169144088540321</v>
      </c>
      <c r="Q81" s="109">
        <f t="shared" si="36"/>
        <v>0.10635047399551106</v>
      </c>
      <c r="R81" s="109">
        <f t="shared" si="36"/>
        <v>0.10861167698043588</v>
      </c>
      <c r="S81" s="109">
        <f t="shared" si="36"/>
        <v>0.10227739866809175</v>
      </c>
      <c r="T81" s="109">
        <f t="shared" si="36"/>
        <v>0.11330989452536414</v>
      </c>
      <c r="U81" s="109">
        <f t="shared" si="36"/>
        <v>0.13021798196863035</v>
      </c>
      <c r="V81" s="109">
        <f t="shared" si="36"/>
        <v>0.17753391514732567</v>
      </c>
      <c r="W81" s="109">
        <f t="shared" si="36"/>
        <v>0.10792203182231307</v>
      </c>
      <c r="X81" s="109">
        <f t="shared" si="36"/>
        <v>0.13092276285449925</v>
      </c>
      <c r="Y81" s="109">
        <f t="shared" si="36"/>
        <v>0.2544146243189741</v>
      </c>
      <c r="Z81" s="109" t="e">
        <f>Z84/Z54</f>
        <v>#DIV/0!</v>
      </c>
      <c r="AA81" s="109" t="e">
        <f>AA21/AA24</f>
        <v>#DIV/0!</v>
      </c>
      <c r="AC81" s="154">
        <f>AC21/AC24</f>
        <v>0.137917831007516</v>
      </c>
      <c r="AE81" s="32"/>
    </row>
    <row r="82" spans="1:31" s="99" customFormat="1" ht="12.75">
      <c r="A82" s="139"/>
      <c r="B82" s="136" t="s">
        <v>163</v>
      </c>
      <c r="C82" s="154"/>
      <c r="D82" s="154">
        <f aca="true" t="shared" si="37" ref="D82:AA82">D84-D89</f>
        <v>0.17051713586291317</v>
      </c>
      <c r="E82" s="154">
        <f t="shared" si="37"/>
        <v>0.4437475516961411</v>
      </c>
      <c r="F82" s="154">
        <f t="shared" si="37"/>
        <v>0.3060771343657738</v>
      </c>
      <c r="G82" s="154">
        <f t="shared" si="37"/>
        <v>0.33729676560782273</v>
      </c>
      <c r="H82" s="154">
        <f t="shared" si="37"/>
        <v>0.5098924593930497</v>
      </c>
      <c r="I82" s="154">
        <f t="shared" si="37"/>
        <v>0.28145923283899643</v>
      </c>
      <c r="J82" s="154">
        <f t="shared" si="37"/>
        <v>0.15893802491740638</v>
      </c>
      <c r="K82" s="154">
        <f t="shared" si="37"/>
        <v>0.557457686363196</v>
      </c>
      <c r="L82" s="154">
        <f t="shared" si="37"/>
        <v>0.5793583668918854</v>
      </c>
      <c r="M82" s="154">
        <f t="shared" si="37"/>
        <v>0.40222759630777616</v>
      </c>
      <c r="N82" s="154">
        <f t="shared" si="37"/>
        <v>0.6959364684389856</v>
      </c>
      <c r="O82" s="154">
        <f t="shared" si="37"/>
        <v>0.7029140376469761</v>
      </c>
      <c r="P82" s="154">
        <f t="shared" si="37"/>
        <v>0.6883386058688775</v>
      </c>
      <c r="Q82" s="154">
        <f t="shared" si="37"/>
        <v>0.5468921125355091</v>
      </c>
      <c r="R82" s="154">
        <f t="shared" si="37"/>
        <v>0.6009652342699005</v>
      </c>
      <c r="S82" s="154">
        <f t="shared" si="37"/>
        <v>0.4494909064159206</v>
      </c>
      <c r="T82" s="154">
        <f t="shared" si="37"/>
        <v>0.6438640549137786</v>
      </c>
      <c r="U82" s="154">
        <f t="shared" si="37"/>
        <v>0.6864144408142185</v>
      </c>
      <c r="V82" s="154">
        <f t="shared" si="37"/>
        <v>0.6164780091592499</v>
      </c>
      <c r="W82" s="154">
        <f t="shared" si="37"/>
        <v>0.6669969301102742</v>
      </c>
      <c r="X82" s="154">
        <f t="shared" si="37"/>
        <v>0.7248101749181219</v>
      </c>
      <c r="Y82" s="154">
        <f t="shared" si="37"/>
        <v>0.5505185431739748</v>
      </c>
      <c r="Z82" s="154" t="e">
        <f t="shared" si="37"/>
        <v>#DIV/0!</v>
      </c>
      <c r="AA82" s="154" t="e">
        <f t="shared" si="37"/>
        <v>#DIV/0!</v>
      </c>
      <c r="AB82" s="154">
        <v>1</v>
      </c>
      <c r="AC82" s="154">
        <f>AC84-AC89</f>
        <v>0.5760055742370604</v>
      </c>
      <c r="AD82" s="94"/>
      <c r="AE82" s="146"/>
    </row>
    <row r="83" spans="1:31" s="99" customFormat="1" ht="13.5" thickBot="1">
      <c r="A83" s="139"/>
      <c r="B83" s="137" t="s">
        <v>196</v>
      </c>
      <c r="C83" s="154"/>
      <c r="D83" s="157">
        <f aca="true" t="shared" si="38" ref="D83:AA83">SUM(D81:D82)</f>
        <v>0.9283310019234132</v>
      </c>
      <c r="E83" s="157">
        <f t="shared" si="38"/>
        <v>0.8040853574468922</v>
      </c>
      <c r="F83" s="157">
        <f t="shared" si="38"/>
        <v>0.8895447045402245</v>
      </c>
      <c r="G83" s="157">
        <f t="shared" si="38"/>
        <v>0.8869119944454088</v>
      </c>
      <c r="H83" s="157">
        <f t="shared" si="38"/>
        <v>0.7998053419280722</v>
      </c>
      <c r="I83" s="157">
        <f t="shared" si="38"/>
        <v>0.8428602715724924</v>
      </c>
      <c r="J83" s="157">
        <f t="shared" si="38"/>
        <v>0.8849327973039314</v>
      </c>
      <c r="K83" s="157">
        <f t="shared" si="38"/>
        <v>0.7726665908621917</v>
      </c>
      <c r="L83" s="157">
        <f t="shared" si="38"/>
        <v>0.7609157400021144</v>
      </c>
      <c r="M83" s="157">
        <f t="shared" si="38"/>
        <v>0.8559555843182669</v>
      </c>
      <c r="N83" s="157">
        <f t="shared" si="38"/>
        <v>0.8471839844469344</v>
      </c>
      <c r="O83" s="157">
        <f t="shared" si="38"/>
        <v>0.8377260664006889</v>
      </c>
      <c r="P83" s="157">
        <f t="shared" si="38"/>
        <v>0.8574826944091986</v>
      </c>
      <c r="Q83" s="157">
        <f t="shared" si="38"/>
        <v>0.6532425865310201</v>
      </c>
      <c r="R83" s="157">
        <f t="shared" si="38"/>
        <v>0.7095769112503363</v>
      </c>
      <c r="S83" s="157">
        <f t="shared" si="38"/>
        <v>0.5517683050840123</v>
      </c>
      <c r="T83" s="157">
        <f t="shared" si="38"/>
        <v>0.7571739494391427</v>
      </c>
      <c r="U83" s="157">
        <f t="shared" si="38"/>
        <v>0.8166324227828489</v>
      </c>
      <c r="V83" s="157">
        <f t="shared" si="38"/>
        <v>0.7940119243065755</v>
      </c>
      <c r="W83" s="157">
        <f t="shared" si="38"/>
        <v>0.7749189619325872</v>
      </c>
      <c r="X83" s="157">
        <f t="shared" si="38"/>
        <v>0.8557329377726212</v>
      </c>
      <c r="Y83" s="157">
        <f t="shared" si="38"/>
        <v>0.8049331674929489</v>
      </c>
      <c r="Z83" s="157" t="e">
        <f t="shared" si="38"/>
        <v>#DIV/0!</v>
      </c>
      <c r="AA83" s="157" t="e">
        <f t="shared" si="38"/>
        <v>#DIV/0!</v>
      </c>
      <c r="AB83" s="154">
        <v>0.730707959136368</v>
      </c>
      <c r="AC83" s="157">
        <f>SUM(AC81:AC82)</f>
        <v>0.7139234052445764</v>
      </c>
      <c r="AD83" s="94"/>
      <c r="AE83" s="146"/>
    </row>
    <row r="84" spans="1:31" s="99" customFormat="1" ht="13.5" thickBot="1">
      <c r="A84" s="139"/>
      <c r="B84" s="113" t="s">
        <v>197</v>
      </c>
      <c r="C84" s="158"/>
      <c r="D84" s="158">
        <f aca="true" t="shared" si="39" ref="D84:AA84">D24/D24</f>
        <v>1</v>
      </c>
      <c r="E84" s="158">
        <f t="shared" si="39"/>
        <v>1</v>
      </c>
      <c r="F84" s="158">
        <f t="shared" si="39"/>
        <v>1</v>
      </c>
      <c r="G84" s="158">
        <f t="shared" si="39"/>
        <v>1</v>
      </c>
      <c r="H84" s="158">
        <f t="shared" si="39"/>
        <v>1</v>
      </c>
      <c r="I84" s="158">
        <f t="shared" si="39"/>
        <v>1</v>
      </c>
      <c r="J84" s="159">
        <f t="shared" si="39"/>
        <v>1</v>
      </c>
      <c r="K84" s="158">
        <f t="shared" si="39"/>
        <v>1</v>
      </c>
      <c r="L84" s="158">
        <f t="shared" si="39"/>
        <v>1</v>
      </c>
      <c r="M84" s="160">
        <f t="shared" si="39"/>
        <v>1</v>
      </c>
      <c r="N84" s="160">
        <f t="shared" si="39"/>
        <v>1</v>
      </c>
      <c r="O84" s="158">
        <f t="shared" si="39"/>
        <v>1</v>
      </c>
      <c r="P84" s="158">
        <f t="shared" si="39"/>
        <v>1</v>
      </c>
      <c r="Q84" s="158">
        <f t="shared" si="39"/>
        <v>1</v>
      </c>
      <c r="R84" s="158">
        <f t="shared" si="39"/>
        <v>1</v>
      </c>
      <c r="S84" s="161">
        <f t="shared" si="39"/>
        <v>1</v>
      </c>
      <c r="T84" s="158">
        <f t="shared" si="39"/>
        <v>1</v>
      </c>
      <c r="U84" s="160">
        <f t="shared" si="39"/>
        <v>1</v>
      </c>
      <c r="V84" s="160">
        <f t="shared" si="39"/>
        <v>1</v>
      </c>
      <c r="W84" s="158">
        <f t="shared" si="39"/>
        <v>1</v>
      </c>
      <c r="X84" s="158">
        <f t="shared" si="39"/>
        <v>1</v>
      </c>
      <c r="Y84" s="158">
        <f t="shared" si="39"/>
        <v>1</v>
      </c>
      <c r="Z84" s="158" t="e">
        <f t="shared" si="39"/>
        <v>#DIV/0!</v>
      </c>
      <c r="AA84" s="158" t="e">
        <f t="shared" si="39"/>
        <v>#DIV/0!</v>
      </c>
      <c r="AB84" s="158">
        <v>1</v>
      </c>
      <c r="AC84" s="158">
        <f>AC24/AC24</f>
        <v>1</v>
      </c>
      <c r="AD84" s="94"/>
      <c r="AE84" s="146"/>
    </row>
    <row r="85" spans="1:31" ht="12.75">
      <c r="A85" s="18"/>
      <c r="B85" s="38" t="s">
        <v>190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32"/>
      <c r="T85" s="21"/>
      <c r="U85" s="21"/>
      <c r="V85" s="21"/>
      <c r="W85" s="21"/>
      <c r="X85" s="21"/>
      <c r="Y85" s="21"/>
      <c r="Z85" s="21"/>
      <c r="AA85" s="21"/>
      <c r="AB85" s="21"/>
      <c r="AC85" s="94"/>
      <c r="AD85" s="34"/>
      <c r="AE85" s="146"/>
    </row>
    <row r="86" spans="1:31" ht="12.75">
      <c r="A86" s="30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  <c r="T86" s="34"/>
      <c r="U86" s="34"/>
      <c r="V86" s="34"/>
      <c r="W86" s="34"/>
      <c r="X86" s="34"/>
      <c r="Y86" s="34"/>
      <c r="Z86" s="34"/>
      <c r="AA86" s="34"/>
      <c r="AB86" s="34"/>
      <c r="AC86" s="98"/>
      <c r="AD86" s="34"/>
      <c r="AE86" s="35"/>
    </row>
    <row r="89" spans="1:31" s="94" customFormat="1" ht="12.75" hidden="1">
      <c r="A89" s="139"/>
      <c r="B89" s="91" t="s">
        <v>162</v>
      </c>
      <c r="C89" s="162"/>
      <c r="D89" s="162">
        <f aca="true" t="shared" si="40" ref="D89:Y89">SUM(D80:D81)</f>
        <v>0.8294828641370868</v>
      </c>
      <c r="E89" s="162">
        <f t="shared" si="40"/>
        <v>0.5562524483038589</v>
      </c>
      <c r="F89" s="162">
        <f t="shared" si="40"/>
        <v>0.6939228656342262</v>
      </c>
      <c r="G89" s="162">
        <f t="shared" si="40"/>
        <v>0.6627032343921773</v>
      </c>
      <c r="H89" s="162">
        <f t="shared" si="40"/>
        <v>0.4901075406069503</v>
      </c>
      <c r="I89" s="162">
        <f t="shared" si="40"/>
        <v>0.7185407671610036</v>
      </c>
      <c r="J89" s="162">
        <f t="shared" si="40"/>
        <v>0.8410619750825936</v>
      </c>
      <c r="K89" s="162">
        <f t="shared" si="40"/>
        <v>0.44254231363680396</v>
      </c>
      <c r="L89" s="162">
        <f t="shared" si="40"/>
        <v>0.4206416331081146</v>
      </c>
      <c r="M89" s="162">
        <f t="shared" si="40"/>
        <v>0.5977724036922238</v>
      </c>
      <c r="N89" s="162">
        <f t="shared" si="40"/>
        <v>0.3040635315610144</v>
      </c>
      <c r="O89" s="162">
        <f t="shared" si="40"/>
        <v>0.29708596235302387</v>
      </c>
      <c r="P89" s="162">
        <f t="shared" si="40"/>
        <v>0.3116613941311225</v>
      </c>
      <c r="Q89" s="162">
        <f t="shared" si="40"/>
        <v>0.4531078874644909</v>
      </c>
      <c r="R89" s="162">
        <f t="shared" si="40"/>
        <v>0.39903476573009955</v>
      </c>
      <c r="S89" s="162">
        <f t="shared" si="40"/>
        <v>0.5505090935840794</v>
      </c>
      <c r="T89" s="162">
        <f t="shared" si="40"/>
        <v>0.3561359450862214</v>
      </c>
      <c r="U89" s="162">
        <f t="shared" si="40"/>
        <v>0.31358555918578146</v>
      </c>
      <c r="V89" s="162">
        <f t="shared" si="40"/>
        <v>0.38352199084075006</v>
      </c>
      <c r="W89" s="162">
        <f t="shared" si="40"/>
        <v>0.33300306988972583</v>
      </c>
      <c r="X89" s="162">
        <f t="shared" si="40"/>
        <v>0.2751898250818781</v>
      </c>
      <c r="Y89" s="162">
        <f t="shared" si="40"/>
        <v>0.44948145682602525</v>
      </c>
      <c r="Z89" s="162" t="e">
        <f>Z22/Z24</f>
        <v>#DIV/0!</v>
      </c>
      <c r="AA89" s="162" t="e">
        <f>SUM(AA80:AA81)</f>
        <v>#DIV/0!</v>
      </c>
      <c r="AB89" s="162"/>
      <c r="AC89" s="162">
        <f>SUM(AC80:AC81)</f>
        <v>0.42399442576293955</v>
      </c>
      <c r="AE89" s="146"/>
    </row>
  </sheetData>
  <mergeCells count="1">
    <mergeCell ref="D26:Y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  <headerFooter alignWithMargins="0">
    <oddFooter>&amp;R28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C16" sqref="C16"/>
    </sheetView>
  </sheetViews>
  <sheetFormatPr defaultColWidth="9.140625" defaultRowHeight="12.75"/>
  <cols>
    <col min="1" max="1" width="5.140625" style="0" customWidth="1"/>
    <col min="3" max="3" width="35.7109375" style="0" customWidth="1"/>
    <col min="4" max="6" width="15.7109375" style="0" customWidth="1"/>
    <col min="8" max="27" width="9.140625" style="21" customWidth="1"/>
  </cols>
  <sheetData>
    <row r="1" spans="1:7" ht="12.75">
      <c r="A1" s="21"/>
      <c r="B1" s="21"/>
      <c r="C1" s="21"/>
      <c r="D1" s="21"/>
      <c r="E1" s="21"/>
      <c r="F1" s="21"/>
      <c r="G1" s="21"/>
    </row>
    <row r="2" spans="1:7" ht="15.75">
      <c r="A2" s="21"/>
      <c r="B2" s="199" t="s">
        <v>398</v>
      </c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24.75" customHeight="1">
      <c r="A4" s="21"/>
      <c r="B4" s="21"/>
      <c r="C4" s="612"/>
      <c r="D4" s="862" t="s">
        <v>105</v>
      </c>
      <c r="E4" s="863"/>
      <c r="F4" s="863"/>
      <c r="G4" s="21"/>
    </row>
    <row r="5" spans="1:7" ht="18.75" customHeight="1">
      <c r="A5" s="21"/>
      <c r="B5" s="21"/>
      <c r="C5" s="613" t="s">
        <v>106</v>
      </c>
      <c r="D5" s="612" t="s">
        <v>117</v>
      </c>
      <c r="E5" s="612" t="s">
        <v>83</v>
      </c>
      <c r="F5" s="612" t="s">
        <v>52</v>
      </c>
      <c r="G5" s="21"/>
    </row>
    <row r="6" spans="1:7" ht="14.25" customHeight="1">
      <c r="A6" s="21"/>
      <c r="B6" s="21"/>
      <c r="C6" s="614" t="s">
        <v>107</v>
      </c>
      <c r="D6" s="271" t="s">
        <v>108</v>
      </c>
      <c r="E6" s="271" t="s">
        <v>45</v>
      </c>
      <c r="F6" s="271" t="s">
        <v>108</v>
      </c>
      <c r="G6" s="21"/>
    </row>
    <row r="7" spans="1:7" ht="24.75" customHeight="1">
      <c r="A7" s="21"/>
      <c r="B7" s="21"/>
      <c r="C7" s="616" t="s">
        <v>109</v>
      </c>
      <c r="D7" s="726">
        <f>'[3]ANNEX E'!E8</f>
        <v>0.037861088910781326</v>
      </c>
      <c r="E7" s="726">
        <f>'[3]ANNEX E'!H8</f>
        <v>0.003029609042048298</v>
      </c>
      <c r="F7" s="726">
        <f>'[3]ANNEX E'!K8</f>
        <v>0.03611608488348961</v>
      </c>
      <c r="G7" s="21"/>
    </row>
    <row r="8" spans="1:7" ht="24.75" customHeight="1">
      <c r="A8" s="21"/>
      <c r="B8" s="21"/>
      <c r="C8" s="616" t="s">
        <v>110</v>
      </c>
      <c r="D8" s="726">
        <f>'[3]ANNEX E'!E9</f>
        <v>0.10720642095949806</v>
      </c>
      <c r="E8" s="726">
        <f>'[3]ANNEX E'!H9</f>
        <v>0.03719348056173577</v>
      </c>
      <c r="F8" s="726">
        <f>'[3]ANNEX E'!K9</f>
        <v>0.05046967039831096</v>
      </c>
      <c r="G8" s="21"/>
    </row>
    <row r="9" spans="1:7" ht="24.75" customHeight="1">
      <c r="A9" s="21"/>
      <c r="B9" s="21"/>
      <c r="C9" s="616" t="s">
        <v>111</v>
      </c>
      <c r="D9" s="726">
        <f>'[3]ANNEX E'!E10</f>
        <v>-0.027704139762878777</v>
      </c>
      <c r="E9" s="726">
        <f>'[3]ANNEX E'!H10</f>
        <v>-0.010907865078862988</v>
      </c>
      <c r="F9" s="726">
        <f>'[3]ANNEX E'!K10</f>
        <v>0.020292302717683564</v>
      </c>
      <c r="G9" s="21"/>
    </row>
    <row r="10" spans="1:7" ht="24.75" customHeight="1">
      <c r="A10" s="21"/>
      <c r="B10" s="21"/>
      <c r="C10" s="616" t="s">
        <v>76</v>
      </c>
      <c r="D10" s="689" t="str">
        <f>'[1]ANNEX E'!E11</f>
        <v>…</v>
      </c>
      <c r="E10" s="726">
        <f>'[3]ANNEX E'!H11</f>
        <v>0.01686102275614365</v>
      </c>
      <c r="F10" s="726">
        <f>'[3]ANNEX E'!K11</f>
        <v>0.015836058015044285</v>
      </c>
      <c r="G10" s="21"/>
    </row>
    <row r="11" spans="1:7" ht="24.75" customHeight="1">
      <c r="A11" s="21"/>
      <c r="B11" s="21"/>
      <c r="C11" s="616" t="s">
        <v>112</v>
      </c>
      <c r="D11" s="726">
        <f>'[3]ANNEX E'!E12</f>
        <v>0.036964211029892224</v>
      </c>
      <c r="E11" s="726">
        <f>'[3]ANNEX E'!H12</f>
        <v>0.022396179896243762</v>
      </c>
      <c r="F11" s="726">
        <f>'[3]ANNEX E'!K12</f>
        <v>0.010923298667069536</v>
      </c>
      <c r="G11" s="21"/>
    </row>
    <row r="12" spans="1:7" ht="24.75" customHeight="1">
      <c r="A12" s="21"/>
      <c r="B12" s="21"/>
      <c r="C12" s="616" t="s">
        <v>113</v>
      </c>
      <c r="D12" s="726">
        <f>'[3]ANNEX E'!E13</f>
        <v>0.03151122405133999</v>
      </c>
      <c r="E12" s="726">
        <f>'[3]ANNEX E'!H13</f>
        <v>0.02095863315848967</v>
      </c>
      <c r="F12" s="726">
        <f>'[3]ANNEX E'!K13</f>
        <v>0.002313342792795714</v>
      </c>
      <c r="G12" s="21"/>
    </row>
    <row r="13" spans="1:7" ht="24.75" customHeight="1" thickBot="1">
      <c r="A13" s="21"/>
      <c r="B13" s="21"/>
      <c r="C13" s="647" t="s">
        <v>114</v>
      </c>
      <c r="D13" s="738" t="str">
        <f>'[1]ANNEX E'!E14</f>
        <v>…</v>
      </c>
      <c r="E13" s="739">
        <f>'[3]ANNEX E'!H14</f>
        <v>0.0473889232227136</v>
      </c>
      <c r="F13" s="738" t="str">
        <f>'[1]ANNEX E'!K14</f>
        <v>…</v>
      </c>
      <c r="G13" s="21"/>
    </row>
    <row r="14" spans="1:7" ht="16.5" customHeight="1" thickTop="1">
      <c r="A14" s="21"/>
      <c r="B14" s="21"/>
      <c r="C14" s="684" t="s">
        <v>115</v>
      </c>
      <c r="D14" s="759"/>
      <c r="E14" s="760"/>
      <c r="F14" s="759"/>
      <c r="G14" s="21"/>
    </row>
    <row r="15" spans="1:7" ht="19.5" customHeight="1">
      <c r="A15" s="21"/>
      <c r="B15" s="21"/>
      <c r="C15" s="761" t="s">
        <v>116</v>
      </c>
      <c r="D15" s="762">
        <f>'[3]ANNEX E'!E15</f>
        <v>0.015629002447463236</v>
      </c>
      <c r="E15" s="763">
        <f>'[3]ANNEX E'!H15</f>
        <v>0.014813952080789727</v>
      </c>
      <c r="F15" s="762">
        <f>'[3]ANNEX E'!K15</f>
        <v>0.029237508860504358</v>
      </c>
      <c r="G15" s="21"/>
    </row>
    <row r="16" spans="1:7" ht="15" customHeight="1">
      <c r="A16" s="21"/>
      <c r="B16" s="21"/>
      <c r="C16" s="70" t="s">
        <v>103</v>
      </c>
      <c r="D16" s="21"/>
      <c r="E16" s="21"/>
      <c r="F16" s="21"/>
      <c r="G16" s="21"/>
    </row>
    <row r="17" spans="1:7" ht="15" customHeight="1">
      <c r="A17" s="21"/>
      <c r="B17" s="21"/>
      <c r="C17" s="111" t="s">
        <v>591</v>
      </c>
      <c r="D17" s="21"/>
      <c r="E17" s="21"/>
      <c r="F17" s="21"/>
      <c r="G17" s="21"/>
    </row>
    <row r="18" spans="1:7" ht="15" customHeight="1">
      <c r="A18" s="21"/>
      <c r="B18" s="21"/>
      <c r="C18" s="70" t="s">
        <v>63</v>
      </c>
      <c r="D18" s="21"/>
      <c r="E18" s="21"/>
      <c r="F18" s="21"/>
      <c r="G18" s="21"/>
    </row>
    <row r="19" spans="1:7" ht="15" customHeight="1">
      <c r="A19" s="21"/>
      <c r="B19" s="21"/>
      <c r="C19" s="182"/>
      <c r="D19" s="21"/>
      <c r="E19" s="21"/>
      <c r="F19" s="21"/>
      <c r="G19" s="21"/>
    </row>
  </sheetData>
  <mergeCells count="1">
    <mergeCell ref="D4:F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selection activeCell="B19" sqref="B19"/>
    </sheetView>
  </sheetViews>
  <sheetFormatPr defaultColWidth="9.140625" defaultRowHeight="12.75"/>
  <cols>
    <col min="2" max="2" width="16.421875" style="0" customWidth="1"/>
    <col min="3" max="10" width="10.7109375" style="0" customWidth="1"/>
    <col min="11" max="11" width="11.28125" style="0" customWidth="1"/>
    <col min="12" max="12" width="11.8515625" style="0" customWidth="1"/>
    <col min="13" max="14" width="10.7109375" style="0" customWidth="1"/>
  </cols>
  <sheetData>
    <row r="1" spans="1:15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21"/>
      <c r="B2" s="199" t="s">
        <v>384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>
      <c r="A4" s="21"/>
      <c r="B4" s="611" t="s">
        <v>60</v>
      </c>
      <c r="C4" s="866" t="s">
        <v>258</v>
      </c>
      <c r="D4" s="867"/>
      <c r="E4" s="864" t="s">
        <v>259</v>
      </c>
      <c r="F4" s="868"/>
      <c r="G4" s="866" t="s">
        <v>260</v>
      </c>
      <c r="H4" s="865"/>
      <c r="I4" s="864" t="s">
        <v>77</v>
      </c>
      <c r="J4" s="864"/>
      <c r="K4" s="866" t="s">
        <v>267</v>
      </c>
      <c r="L4" s="865"/>
      <c r="M4" s="864" t="s">
        <v>252</v>
      </c>
      <c r="N4" s="865"/>
      <c r="O4" s="21"/>
    </row>
    <row r="5" spans="1:15" ht="15">
      <c r="A5" s="21"/>
      <c r="B5" s="608"/>
      <c r="C5" s="435">
        <v>1992</v>
      </c>
      <c r="D5" s="722">
        <v>1995</v>
      </c>
      <c r="E5" s="436">
        <v>1992</v>
      </c>
      <c r="F5" s="435">
        <v>1995</v>
      </c>
      <c r="G5" s="435">
        <v>1992</v>
      </c>
      <c r="H5" s="722">
        <v>1995</v>
      </c>
      <c r="I5" s="436">
        <v>1992</v>
      </c>
      <c r="J5" s="435">
        <v>1995</v>
      </c>
      <c r="K5" s="435">
        <v>1992</v>
      </c>
      <c r="L5" s="722">
        <v>1995</v>
      </c>
      <c r="M5" s="436">
        <v>1992</v>
      </c>
      <c r="N5" s="722">
        <v>1995</v>
      </c>
      <c r="O5" s="21"/>
    </row>
    <row r="6" spans="1:15" ht="14.25">
      <c r="A6" s="21"/>
      <c r="B6" s="523" t="s">
        <v>448</v>
      </c>
      <c r="C6" s="180">
        <f>'[2]ANNEX F.Table 1'!C33/'[2]ANNEX F.Table 2'!C6</f>
        <v>0.041982215799509434</v>
      </c>
      <c r="D6" s="727">
        <f>'[2]ANNEX F.Table 1'!D33/'[2]ANNEX F.Table 2'!D6</f>
        <v>0.056904367917499456</v>
      </c>
      <c r="E6" s="107" t="s">
        <v>19</v>
      </c>
      <c r="F6" s="180" t="s">
        <v>19</v>
      </c>
      <c r="G6" s="180" t="s">
        <v>19</v>
      </c>
      <c r="H6" s="727" t="s">
        <v>19</v>
      </c>
      <c r="I6" s="107" t="s">
        <v>19</v>
      </c>
      <c r="J6" s="180" t="s">
        <v>19</v>
      </c>
      <c r="K6" s="180" t="s">
        <v>19</v>
      </c>
      <c r="L6" s="727">
        <f>'[2]ANNEX F.Table 1'!L33/'[2]ANNEX F.Table 2'!L6</f>
        <v>0.021304757328492466</v>
      </c>
      <c r="M6" s="745">
        <f>'[2]ANNEX F.Table 1'!M33/'[2]ANNEX F.Table 2'!M6</f>
        <v>0.11397321166550035</v>
      </c>
      <c r="N6" s="740">
        <f>'[2]ANNEX F.Table 1'!N33/'[2]ANNEX F.Table 2'!N6</f>
        <v>0.1390928374785188</v>
      </c>
      <c r="O6" s="21"/>
    </row>
    <row r="7" spans="1:15" ht="14.25">
      <c r="A7" s="21"/>
      <c r="B7" s="523" t="s">
        <v>592</v>
      </c>
      <c r="C7" s="180" t="s">
        <v>19</v>
      </c>
      <c r="D7" s="727" t="s">
        <v>19</v>
      </c>
      <c r="E7" s="107" t="s">
        <v>19</v>
      </c>
      <c r="F7" s="180" t="s">
        <v>19</v>
      </c>
      <c r="G7" s="180" t="s">
        <v>19</v>
      </c>
      <c r="H7" s="727">
        <f>'[2]ANNEX F.Table 1'!H34/'[2]ANNEX F.Table 2'!H7</f>
        <v>0.07406790697674419</v>
      </c>
      <c r="I7" s="107" t="s">
        <v>19</v>
      </c>
      <c r="J7" s="180" t="s">
        <v>19</v>
      </c>
      <c r="K7" s="180" t="s">
        <v>19</v>
      </c>
      <c r="L7" s="727" t="s">
        <v>19</v>
      </c>
      <c r="M7" s="745" t="s">
        <v>19</v>
      </c>
      <c r="N7" s="740">
        <f>'[2]ANNEX F.Table 1'!N34/'[2]ANNEX F.Table 2'!N7</f>
        <v>0.49328684336963485</v>
      </c>
      <c r="O7" s="21"/>
    </row>
    <row r="8" spans="1:15" ht="12.75">
      <c r="A8" s="21"/>
      <c r="B8" s="523" t="s">
        <v>255</v>
      </c>
      <c r="C8" s="180">
        <f>'[2]ANNEX F.Table 1'!C35/'[2]ANNEX F.Table 2'!C8</f>
        <v>0.05231169711810134</v>
      </c>
      <c r="D8" s="727">
        <f>'[2]ANNEX F.Table 1'!D35/'[2]ANNEX F.Table 2'!D8</f>
        <v>0.07870447392497713</v>
      </c>
      <c r="E8" s="107" t="s">
        <v>19</v>
      </c>
      <c r="F8" s="180">
        <f>'[2]ANNEX F.Table 1'!F35/'[2]ANNEX F.Table 2'!F8</f>
        <v>0.05891846569005396</v>
      </c>
      <c r="G8" s="180">
        <f>'[2]ANNEX F.Table 1'!G35/'[2]ANNEX F.Table 2'!G8</f>
        <v>0.3074941834061135</v>
      </c>
      <c r="H8" s="727">
        <f>'[2]ANNEX F.Table 1'!H35/'[2]ANNEX F.Table 2'!H8</f>
        <v>0.18550182166826462</v>
      </c>
      <c r="I8" s="107" t="s">
        <v>19</v>
      </c>
      <c r="J8" s="180" t="s">
        <v>19</v>
      </c>
      <c r="K8" s="180" t="s">
        <v>19</v>
      </c>
      <c r="L8" s="727" t="s">
        <v>19</v>
      </c>
      <c r="M8" s="745">
        <f>'[2]ANNEX F.Table 1'!M35/'[2]ANNEX F.Table 2'!M8</f>
        <v>0.20221316698782757</v>
      </c>
      <c r="N8" s="740">
        <f>'[2]ANNEX F.Table 1'!N35/'[2]ANNEX F.Table 2'!N8</f>
        <v>0.2513673187263925</v>
      </c>
      <c r="O8" s="21"/>
    </row>
    <row r="9" spans="1:15" ht="14.25">
      <c r="A9" s="21"/>
      <c r="B9" s="523" t="s">
        <v>463</v>
      </c>
      <c r="C9" s="180">
        <f>'[2]ANNEX F.Table 1'!C36/'[2]ANNEX F.Table 2'!C9</f>
        <v>0.02474757759175789</v>
      </c>
      <c r="D9" s="727">
        <f>'[2]ANNEX F.Table 1'!D36/'[2]ANNEX F.Table 2'!D9</f>
        <v>0.028847022058823526</v>
      </c>
      <c r="E9" s="107" t="s">
        <v>19</v>
      </c>
      <c r="F9" s="180">
        <f>'[2]ANNEX F.Table 1'!F36/'[2]ANNEX F.Table 2'!F9</f>
        <v>0.3495211049107143</v>
      </c>
      <c r="G9" s="180" t="s">
        <v>19</v>
      </c>
      <c r="H9" s="727">
        <f>'[2]ANNEX F.Table 1'!H36/'[2]ANNEX F.Table 2'!H9</f>
        <v>0.05874985153256705</v>
      </c>
      <c r="I9" s="107">
        <f>'[2]ANNEX F.Table 1'!I36/'[2]ANNEX F.Table 2'!I9</f>
        <v>0.28407006477218605</v>
      </c>
      <c r="J9" s="180">
        <f>'[2]ANNEX F.Table 1'!J36/'[2]ANNEX F.Table 2'!J9</f>
        <v>0.3076455061283345</v>
      </c>
      <c r="K9" s="180">
        <f>'[2]ANNEX F.Table 1'!K36/'[2]ANNEX F.Table 2'!K9</f>
        <v>0.019516600706713783</v>
      </c>
      <c r="L9" s="727">
        <f>'[2]ANNEX F.Table 1'!L36/'[2]ANNEX F.Table 2'!L9</f>
        <v>0.029956774193548388</v>
      </c>
      <c r="M9" s="745">
        <f>'[2]ANNEX F.Table 1'!M36/'[2]ANNEX F.Table 2'!M9</f>
        <v>0.1900003619455117</v>
      </c>
      <c r="N9" s="740">
        <f>'[2]ANNEX F.Table 1'!N36/'[2]ANNEX F.Table 2'!N9</f>
        <v>0.14637083103152682</v>
      </c>
      <c r="O9" s="21"/>
    </row>
    <row r="10" spans="1:15" ht="12.75">
      <c r="A10" s="21"/>
      <c r="B10" s="523" t="s">
        <v>84</v>
      </c>
      <c r="C10" s="180">
        <f>'[2]ANNEX F.Table 1'!C37/'[2]ANNEX F.Table 2'!C10</f>
        <v>0.06441082121471343</v>
      </c>
      <c r="D10" s="727">
        <f>'[2]ANNEX F.Table 1'!D37/'[2]ANNEX F.Table 2'!D10</f>
        <v>0.05787111655803254</v>
      </c>
      <c r="E10" s="107">
        <f>'[2]ANNEX F.Table 1'!E37/'[2]ANNEX F.Table 2'!E10</f>
        <v>0.01915248275862069</v>
      </c>
      <c r="F10" s="180">
        <f>'[2]ANNEX F.Table 1'!F37/'[2]ANNEX F.Table 2'!F10</f>
        <v>0.07538415381649963</v>
      </c>
      <c r="G10" s="180">
        <f>'[2]ANNEX F.Table 1'!G37/'[2]ANNEX F.Table 2'!G10</f>
        <v>0.022158908159894287</v>
      </c>
      <c r="H10" s="727">
        <f>'[2]ANNEX F.Table 1'!H37/'[2]ANNEX F.Table 2'!H10</f>
        <v>0.032377444444444445</v>
      </c>
      <c r="I10" s="107" t="s">
        <v>19</v>
      </c>
      <c r="J10" s="180" t="s">
        <v>19</v>
      </c>
      <c r="K10" s="180" t="s">
        <v>19</v>
      </c>
      <c r="L10" s="727" t="s">
        <v>19</v>
      </c>
      <c r="M10" s="745">
        <f>'[2]ANNEX F.Table 1'!M37/'[2]ANNEX F.Table 2'!M10</f>
        <v>0.1450040727532882</v>
      </c>
      <c r="N10" s="740">
        <f>'[2]ANNEX F.Table 1'!N37/'[2]ANNEX F.Table 2'!N10</f>
        <v>0.13934115712851408</v>
      </c>
      <c r="O10" s="21"/>
    </row>
    <row r="11" spans="1:15" ht="12.75">
      <c r="A11" s="21"/>
      <c r="B11" s="523" t="s">
        <v>85</v>
      </c>
      <c r="C11" s="180">
        <f>'[2]ANNEX F.Table 1'!C38/'[2]ANNEX F.Table 2'!C11</f>
        <v>0.024507383863080687</v>
      </c>
      <c r="D11" s="727">
        <f>'[2]ANNEX F.Table 1'!D38/'[2]ANNEX F.Table 2'!D11</f>
        <v>0.031793820154652035</v>
      </c>
      <c r="E11" s="107" t="s">
        <v>19</v>
      </c>
      <c r="F11" s="180" t="s">
        <v>19</v>
      </c>
      <c r="G11" s="180" t="s">
        <v>19</v>
      </c>
      <c r="H11" s="727" t="s">
        <v>19</v>
      </c>
      <c r="I11" s="107" t="s">
        <v>19</v>
      </c>
      <c r="J11" s="180" t="s">
        <v>19</v>
      </c>
      <c r="K11" s="180" t="s">
        <v>19</v>
      </c>
      <c r="L11" s="727" t="s">
        <v>19</v>
      </c>
      <c r="M11" s="745">
        <f>'[2]ANNEX F.Table 1'!M38/'[2]ANNEX F.Table 2'!M11</f>
        <v>0.15783171757202866</v>
      </c>
      <c r="N11" s="740">
        <f>'[2]ANNEX F.Table 1'!N38/'[2]ANNEX F.Table 2'!N11</f>
        <v>0.18715096751985447</v>
      </c>
      <c r="O11" s="21"/>
    </row>
    <row r="12" spans="1:15" ht="12.75">
      <c r="A12" s="21"/>
      <c r="B12" s="523" t="s">
        <v>86</v>
      </c>
      <c r="C12" s="180">
        <f>'[2]ANNEX F.Table 1'!C39/'[2]ANNEX F.Table 2'!C12</f>
        <v>0.12621247848537007</v>
      </c>
      <c r="D12" s="727">
        <f>'[2]ANNEX F.Table 1'!D39/'[2]ANNEX F.Table 2'!D12</f>
        <v>0.15300846619427222</v>
      </c>
      <c r="E12" s="107">
        <f>'[2]ANNEX F.Table 1'!E39/'[2]ANNEX F.Table 2'!E12</f>
        <v>0.09847031902005653</v>
      </c>
      <c r="F12" s="180">
        <f>'[2]ANNEX F.Table 1'!F39/'[2]ANNEX F.Table 2'!F12</f>
        <v>0.17985051341156746</v>
      </c>
      <c r="G12" s="180">
        <f>'[2]ANNEX F.Table 1'!G39/'[2]ANNEX F.Table 2'!G12</f>
        <v>0.04532168915017584</v>
      </c>
      <c r="H12" s="727">
        <f>'[2]ANNEX F.Table 1'!H39/'[2]ANNEX F.Table 2'!H12</f>
        <v>0.054861887988728424</v>
      </c>
      <c r="I12" s="107" t="s">
        <v>19</v>
      </c>
      <c r="J12" s="180" t="s">
        <v>19</v>
      </c>
      <c r="K12" s="180" t="s">
        <v>19</v>
      </c>
      <c r="L12" s="727" t="s">
        <v>19</v>
      </c>
      <c r="M12" s="745">
        <f>'[2]ANNEX F.Table 1'!M39/'[2]ANNEX F.Table 2'!M12</f>
        <v>0.3796459565195584</v>
      </c>
      <c r="N12" s="740">
        <f>'[2]ANNEX F.Table 1'!N39/'[2]ANNEX F.Table 2'!N12</f>
        <v>0.36682271896350244</v>
      </c>
      <c r="O12" s="21"/>
    </row>
    <row r="13" spans="1:15" ht="14.25">
      <c r="A13" s="21"/>
      <c r="B13" s="523" t="s">
        <v>464</v>
      </c>
      <c r="C13" s="180">
        <f>'[2]ANNEX F.Table 1'!C40/'[2]ANNEX F.Table 2'!C13</f>
        <v>0.021995358067299395</v>
      </c>
      <c r="D13" s="727">
        <f>'[2]ANNEX F.Table 1'!D40/'[2]ANNEX F.Table 2'!D13</f>
        <v>0.04033244147157191</v>
      </c>
      <c r="E13" s="107" t="s">
        <v>19</v>
      </c>
      <c r="F13" s="180" t="s">
        <v>19</v>
      </c>
      <c r="G13" s="180">
        <f>'[2]ANNEX F.Table 1'!G40/'[2]ANNEX F.Table 2'!G13</f>
        <v>0.08187729281901401</v>
      </c>
      <c r="H13" s="727">
        <f>'[2]ANNEX F.Table 1'!H40/'[2]ANNEX F.Table 2'!H13</f>
        <v>0.0951828823880597</v>
      </c>
      <c r="I13" s="107">
        <f>'[2]ANNEX F.Table 1'!I40/'[2]ANNEX F.Table 2'!I13</f>
        <v>0.35955285929138536</v>
      </c>
      <c r="J13" s="180">
        <f>'[2]ANNEX F.Table 1'!J40/'[2]ANNEX F.Table 2'!J13</f>
        <v>0.42430838017373534</v>
      </c>
      <c r="K13" s="180" t="s">
        <v>19</v>
      </c>
      <c r="L13" s="727" t="s">
        <v>19</v>
      </c>
      <c r="M13" s="745">
        <f>'[2]ANNEX F.Table 1'!M40/'[2]ANNEX F.Table 2'!M13</f>
        <v>0.154050702452659</v>
      </c>
      <c r="N13" s="740">
        <f>'[2]ANNEX F.Table 1'!N40/'[2]ANNEX F.Table 2'!N13</f>
        <v>0.20238327299962552</v>
      </c>
      <c r="O13" s="21"/>
    </row>
    <row r="14" spans="1:15" ht="14.25">
      <c r="A14" s="21"/>
      <c r="B14" s="523" t="s">
        <v>465</v>
      </c>
      <c r="C14" s="180">
        <f>'[2]ANNEX F.Table 1'!C41/'[2]ANNEX F.Table 2'!C14</f>
        <v>0.187893105899076</v>
      </c>
      <c r="D14" s="727">
        <f>'[2]ANNEX F.Table 1'!D41/'[2]ANNEX F.Table 2'!D14</f>
        <v>0.18195693084938425</v>
      </c>
      <c r="E14" s="107">
        <f>'[2]ANNEX F.Table 1'!E41/'[2]ANNEX F.Table 2'!E14</f>
        <v>0.3243589549673427</v>
      </c>
      <c r="F14" s="180">
        <f>'[2]ANNEX F.Table 1'!F41/'[2]ANNEX F.Table 2'!F14</f>
        <v>0.27944634253819034</v>
      </c>
      <c r="G14" s="180">
        <f>'[2]ANNEX F.Table 1'!G41/'[2]ANNEX F.Table 2'!G14</f>
        <v>0.16341501696501695</v>
      </c>
      <c r="H14" s="727">
        <f>'[2]ANNEX F.Table 1'!H41/'[2]ANNEX F.Table 2'!H14</f>
        <v>0.24037612695635874</v>
      </c>
      <c r="I14" s="107">
        <f>'[2]ANNEX F.Table 1'!I41/'[2]ANNEX F.Table 2'!I14</f>
        <v>0.23555105011822522</v>
      </c>
      <c r="J14" s="180">
        <f>'[2]ANNEX F.Table 1'!J41/'[2]ANNEX F.Table 2'!J14</f>
        <v>0.24250802612955905</v>
      </c>
      <c r="K14" s="180" t="s">
        <v>19</v>
      </c>
      <c r="L14" s="727" t="s">
        <v>19</v>
      </c>
      <c r="M14" s="745">
        <f>'[2]ANNEX F.Table 1'!M41/'[2]ANNEX F.Table 2'!M14</f>
        <v>0.19812662746153156</v>
      </c>
      <c r="N14" s="740">
        <f>'[2]ANNEX F.Table 1'!N41/'[2]ANNEX F.Table 2'!N14</f>
        <v>0.23263125264056067</v>
      </c>
      <c r="O14" s="21"/>
    </row>
    <row r="15" spans="1:15" ht="14.25">
      <c r="A15" s="21"/>
      <c r="B15" s="523" t="s">
        <v>466</v>
      </c>
      <c r="C15" s="180" t="s">
        <v>19</v>
      </c>
      <c r="D15" s="727" t="s">
        <v>19</v>
      </c>
      <c r="E15" s="107" t="s">
        <v>19</v>
      </c>
      <c r="F15" s="180" t="s">
        <v>19</v>
      </c>
      <c r="G15" s="180">
        <f>'[2]ANNEX F.Table 1'!G42/'[2]ANNEX F.Table 2'!G15</f>
        <v>0.07742137222397219</v>
      </c>
      <c r="H15" s="727">
        <f>'[2]ANNEX F.Table 1'!H42/'[2]ANNEX F.Table 2'!H15</f>
        <v>0.12794969020462318</v>
      </c>
      <c r="I15" s="107" t="s">
        <v>19</v>
      </c>
      <c r="J15" s="180" t="s">
        <v>19</v>
      </c>
      <c r="K15" s="180" t="s">
        <v>19</v>
      </c>
      <c r="L15" s="727" t="s">
        <v>19</v>
      </c>
      <c r="M15" s="745">
        <f>'[2]ANNEX F.Table 1'!M42/'[2]ANNEX F.Table 2'!M15</f>
        <v>0.15562124295167828</v>
      </c>
      <c r="N15" s="740">
        <f>'[2]ANNEX F.Table 1'!N42/'[2]ANNEX F.Table 2'!N15</f>
        <v>0.2885123326496727</v>
      </c>
      <c r="O15" s="21"/>
    </row>
    <row r="16" spans="1:15" ht="12.75">
      <c r="A16" s="21"/>
      <c r="B16" s="523" t="s">
        <v>102</v>
      </c>
      <c r="C16" s="180">
        <f>'[2]ANNEX F.Table 1'!C43/'[2]ANNEX F.Table 2'!C16</f>
        <v>0.10408913170591066</v>
      </c>
      <c r="D16" s="727">
        <f>'[2]ANNEX F.Table 1'!D43/'[2]ANNEX F.Table 2'!D16</f>
        <v>0.10745479226720545</v>
      </c>
      <c r="E16" s="107" t="s">
        <v>19</v>
      </c>
      <c r="F16" s="180" t="s">
        <v>19</v>
      </c>
      <c r="G16" s="180" t="s">
        <v>19</v>
      </c>
      <c r="H16" s="727" t="s">
        <v>19</v>
      </c>
      <c r="I16" s="107" t="s">
        <v>19</v>
      </c>
      <c r="J16" s="180" t="s">
        <v>19</v>
      </c>
      <c r="K16" s="180" t="s">
        <v>19</v>
      </c>
      <c r="L16" s="727" t="s">
        <v>19</v>
      </c>
      <c r="M16" s="745">
        <f>'[2]ANNEX F.Table 1'!M43/'[2]ANNEX F.Table 2'!M16</f>
        <v>0.1784829988707361</v>
      </c>
      <c r="N16" s="740">
        <f>'[2]ANNEX F.Table 1'!N43/'[2]ANNEX F.Table 2'!N16</f>
        <v>0.2008912187472928</v>
      </c>
      <c r="O16" s="21"/>
    </row>
    <row r="17" spans="1:15" ht="15" thickBot="1">
      <c r="A17" s="21"/>
      <c r="B17" s="525" t="s">
        <v>539</v>
      </c>
      <c r="C17" s="181">
        <f>'[2]ANNEX F.Table 1'!C44/'[2]ANNEX F.Table 2'!C17</f>
        <v>0.0555776397515528</v>
      </c>
      <c r="D17" s="738">
        <f>'[2]ANNEX F.Table 1'!D44/'[2]ANNEX F.Table 2'!D17</f>
        <v>0.055733262486716256</v>
      </c>
      <c r="E17" s="750">
        <f>'[2]ANNEX F.Table 1'!E44/'[2]ANNEX F.Table 2'!E17</f>
        <v>0.020757328990228013</v>
      </c>
      <c r="F17" s="181">
        <f>'[2]ANNEX F.Table 1'!F44/'[2]ANNEX F.Table 2'!F17</f>
        <v>0.04054886211512718</v>
      </c>
      <c r="G17" s="181">
        <f>'[2]ANNEX F.Table 1'!G44/'[2]ANNEX F.Table 2'!G17</f>
        <v>0.01997244230106786</v>
      </c>
      <c r="H17" s="738">
        <f>'[2]ANNEX F.Table 1'!H44/'[2]ANNEX F.Table 2'!H17</f>
        <v>0.023009316770186337</v>
      </c>
      <c r="I17" s="750">
        <f>'[2]ANNEX F.Table 1'!I44/'[2]ANNEX F.Table 2'!I17</f>
        <v>0.1007597623089983</v>
      </c>
      <c r="J17" s="181">
        <f>'[2]ANNEX F.Table 1'!J44/'[2]ANNEX F.Table 2'!J17</f>
        <v>0.08672475847698427</v>
      </c>
      <c r="K17" s="181" t="s">
        <v>19</v>
      </c>
      <c r="L17" s="738">
        <f>'[2]ANNEX F.Table 1'!L44/'[2]ANNEX F.Table 2'!L17</f>
        <v>0.028534370946822308</v>
      </c>
      <c r="M17" s="746">
        <f>'[2]ANNEX F.Table 1'!M44/'[2]ANNEX F.Table 2'!M17</f>
        <v>0.0672956290002961</v>
      </c>
      <c r="N17" s="741">
        <f>'[2]ANNEX F.Table 1'!N44/'[2]ANNEX F.Table 2'!N17</f>
        <v>0.06634079006130486</v>
      </c>
      <c r="O17" s="21"/>
    </row>
    <row r="18" spans="1:15" ht="16.5" thickTop="1">
      <c r="A18" s="21"/>
      <c r="B18" s="681" t="s">
        <v>256</v>
      </c>
      <c r="C18" s="749">
        <f>AVERAGE(C8:C14,C6,C16:C17)</f>
        <v>0.07037274094963716</v>
      </c>
      <c r="D18" s="752">
        <f>AVERAGE(D8:D14,D6,D16:D17)</f>
        <v>0.07926066938831347</v>
      </c>
      <c r="E18" s="751">
        <f>AVERAGE(E10,E12,E14,E17)</f>
        <v>0.11568477143406199</v>
      </c>
      <c r="F18" s="749">
        <f>AVERAGE(F10,F12,F14,F17)</f>
        <v>0.14380746797034616</v>
      </c>
      <c r="G18" s="749">
        <f>AVERAGE(G8,G10,G12:G15,G17)</f>
        <v>0.10252298643217923</v>
      </c>
      <c r="H18" s="752">
        <f>AVERAGE(H8,H10,H12:H15,H17)</f>
        <v>0.1084655957743808</v>
      </c>
      <c r="I18" s="751">
        <f>AVERAGE(I9,I13,I14,I17)</f>
        <v>0.2449834341226987</v>
      </c>
      <c r="J18" s="744">
        <f>AVERAGE(J9,J13,J14,J17)</f>
        <v>0.26529666772715327</v>
      </c>
      <c r="K18" s="742" t="s">
        <v>19</v>
      </c>
      <c r="L18" s="748" t="s">
        <v>19</v>
      </c>
      <c r="M18" s="747">
        <f>AVERAGE(M8:M17,M6)</f>
        <v>0.17656778983460145</v>
      </c>
      <c r="N18" s="743">
        <f>AVERAGE(N8:N17,N6)</f>
        <v>0.20190042708606956</v>
      </c>
      <c r="O18" s="21"/>
    </row>
    <row r="19" spans="1:15" ht="12.75">
      <c r="A19" s="21"/>
      <c r="B19" s="70" t="s">
        <v>268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70" t="s">
        <v>63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302" t="s">
        <v>593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302" t="s">
        <v>594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302" t="s">
        <v>595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7" ht="12.75">
      <c r="A24" s="21"/>
      <c r="B24" s="302" t="s">
        <v>596</v>
      </c>
      <c r="C24" s="21"/>
      <c r="D24" s="38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2.75">
      <c r="A25" s="21"/>
      <c r="B25" s="302" t="s">
        <v>597</v>
      </c>
      <c r="C25" s="3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21"/>
      <c r="B26" s="302" t="s">
        <v>598</v>
      </c>
      <c r="C26" s="3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="21" customFormat="1" ht="12.75">
      <c r="B27" s="70" t="s">
        <v>347</v>
      </c>
    </row>
    <row r="28" s="21" customFormat="1" ht="12.75"/>
    <row r="29" s="21" customFormat="1" ht="12.75">
      <c r="I29" s="94"/>
    </row>
    <row r="30" spans="2:9" s="21" customFormat="1" ht="12.75">
      <c r="B30" s="182"/>
      <c r="I30" s="94"/>
    </row>
    <row r="31" spans="2:9" s="21" customFormat="1" ht="12.75">
      <c r="B31" s="182"/>
      <c r="I31" s="94"/>
    </row>
    <row r="32" spans="2:9" s="21" customFormat="1" ht="12.75">
      <c r="B32" s="182"/>
      <c r="I32" s="94"/>
    </row>
    <row r="33" s="21" customFormat="1" ht="12.75">
      <c r="I33" s="94"/>
    </row>
    <row r="34" s="21" customFormat="1" ht="12.75">
      <c r="I34" s="94"/>
    </row>
    <row r="35" s="21" customFormat="1" ht="12.75">
      <c r="I35" s="94"/>
    </row>
    <row r="36" s="21" customFormat="1" ht="12.75">
      <c r="I36" s="94"/>
    </row>
    <row r="37" s="21" customFormat="1" ht="12.75">
      <c r="I37" s="94"/>
    </row>
    <row r="38" s="21" customFormat="1" ht="12.75">
      <c r="I38" s="94"/>
    </row>
    <row r="39" s="21" customFormat="1" ht="12.75">
      <c r="I39" s="94"/>
    </row>
    <row r="40" s="21" customFormat="1" ht="12.75">
      <c r="I40" s="94"/>
    </row>
    <row r="41" s="21" customFormat="1" ht="12.75">
      <c r="I41" s="94"/>
    </row>
    <row r="42" s="21" customFormat="1" ht="12.75">
      <c r="I42" s="94"/>
    </row>
    <row r="43" s="21" customFormat="1" ht="12.75">
      <c r="I43" s="94"/>
    </row>
    <row r="44" s="21" customFormat="1" ht="12.75">
      <c r="I44" s="94"/>
    </row>
    <row r="45" s="21" customFormat="1" ht="12.75">
      <c r="I45" s="94"/>
    </row>
    <row r="46" s="21" customFormat="1" ht="12.75">
      <c r="I46" s="94"/>
    </row>
    <row r="47" s="21" customFormat="1" ht="12.75">
      <c r="I47" s="94"/>
    </row>
    <row r="48" s="21" customFormat="1" ht="12.75">
      <c r="I48" s="94"/>
    </row>
    <row r="49" s="21" customFormat="1" ht="12.75">
      <c r="I49" s="94"/>
    </row>
    <row r="50" s="21" customFormat="1" ht="12.75"/>
  </sheetData>
  <mergeCells count="6">
    <mergeCell ref="M4:N4"/>
    <mergeCell ref="I4:J4"/>
    <mergeCell ref="K4:L4"/>
    <mergeCell ref="C4:D4"/>
    <mergeCell ref="E4:F4"/>
    <mergeCell ref="G4:H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8" r:id="rId1"/>
  <headerFooter alignWithMargins="0">
    <oddFooter>&amp;R30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5"/>
  <sheetViews>
    <sheetView workbookViewId="0" topLeftCell="A1">
      <selection activeCell="F6" sqref="F6:F16"/>
    </sheetView>
  </sheetViews>
  <sheetFormatPr defaultColWidth="9.140625" defaultRowHeight="12.75"/>
  <cols>
    <col min="1" max="1" width="5.7109375" style="21" customWidth="1"/>
    <col min="2" max="2" width="7.7109375" style="0" customWidth="1"/>
    <col min="3" max="3" width="16.00390625" style="0" customWidth="1"/>
    <col min="4" max="6" width="20.7109375" style="100" customWidth="1"/>
    <col min="7" max="7" width="14.00390625" style="100" customWidth="1"/>
    <col min="8" max="8" width="6.00390625" style="100" customWidth="1"/>
    <col min="9" max="16" width="12.28125" style="100" customWidth="1"/>
    <col min="17" max="17" width="14.7109375" style="100" hidden="1" customWidth="1"/>
    <col min="18" max="18" width="21.28125" style="100" customWidth="1"/>
    <col min="19" max="19" width="5.00390625" style="103" customWidth="1"/>
  </cols>
  <sheetData>
    <row r="1" spans="4:19" s="21" customFormat="1" ht="12.75">
      <c r="D1" s="103"/>
      <c r="E1" s="103"/>
      <c r="F1" s="103"/>
      <c r="G1" s="103"/>
      <c r="H1" s="103"/>
      <c r="I1" s="103"/>
      <c r="J1" s="195"/>
      <c r="K1" s="195"/>
      <c r="L1" s="195"/>
      <c r="M1" s="195"/>
      <c r="N1" s="195"/>
      <c r="O1" s="195"/>
      <c r="P1" s="195"/>
      <c r="Q1" s="195"/>
      <c r="R1" s="195"/>
      <c r="S1" s="196"/>
    </row>
    <row r="2" spans="2:19" ht="12.75">
      <c r="B2" s="21"/>
      <c r="C2" s="21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</row>
    <row r="3" spans="2:18" ht="15.75">
      <c r="B3" s="199" t="s">
        <v>385</v>
      </c>
      <c r="C3" s="21"/>
      <c r="D3" s="200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2:19" ht="15.75">
      <c r="B4" s="199"/>
      <c r="C4" s="21"/>
      <c r="D4" s="200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</row>
    <row r="5" spans="2:19" ht="12.75">
      <c r="B5" s="21"/>
      <c r="C5" s="21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</row>
    <row r="6" spans="2:19" ht="19.5" customHeight="1">
      <c r="B6" s="21"/>
      <c r="C6" s="604" t="s">
        <v>60</v>
      </c>
      <c r="D6" s="432" t="s">
        <v>169</v>
      </c>
      <c r="E6" s="366" t="s">
        <v>311</v>
      </c>
      <c r="F6" s="432" t="s">
        <v>313</v>
      </c>
      <c r="G6" s="102"/>
      <c r="H6" s="191"/>
      <c r="I6" s="94"/>
      <c r="J6" s="21"/>
      <c r="K6"/>
      <c r="L6"/>
      <c r="M6"/>
      <c r="N6"/>
      <c r="O6"/>
      <c r="P6"/>
      <c r="Q6"/>
      <c r="R6"/>
      <c r="S6"/>
    </row>
    <row r="7" spans="2:19" ht="19.5" customHeight="1">
      <c r="B7" s="21"/>
      <c r="C7" s="756"/>
      <c r="D7" s="271" t="s">
        <v>310</v>
      </c>
      <c r="E7" s="368" t="s">
        <v>312</v>
      </c>
      <c r="F7" s="271" t="s">
        <v>314</v>
      </c>
      <c r="G7" s="102"/>
      <c r="H7" s="191"/>
      <c r="I7" s="94"/>
      <c r="J7" s="21"/>
      <c r="K7"/>
      <c r="L7"/>
      <c r="M7"/>
      <c r="N7"/>
      <c r="O7"/>
      <c r="P7"/>
      <c r="Q7"/>
      <c r="R7"/>
      <c r="S7"/>
    </row>
    <row r="8" spans="2:19" ht="19.5" customHeight="1">
      <c r="B8" s="21"/>
      <c r="C8" s="523" t="s">
        <v>269</v>
      </c>
      <c r="D8" s="754">
        <v>0.228</v>
      </c>
      <c r="E8" s="344">
        <f>5/100</f>
        <v>0.05</v>
      </c>
      <c r="F8" s="754">
        <f>8.2/100</f>
        <v>0.08199999999999999</v>
      </c>
      <c r="G8" s="21"/>
      <c r="H8" s="21"/>
      <c r="I8"/>
      <c r="J8"/>
      <c r="K8"/>
      <c r="L8"/>
      <c r="M8"/>
      <c r="N8"/>
      <c r="O8"/>
      <c r="P8"/>
      <c r="Q8"/>
      <c r="R8"/>
      <c r="S8"/>
    </row>
    <row r="9" spans="2:19" ht="19.5" customHeight="1">
      <c r="B9" s="21"/>
      <c r="C9" s="523" t="s">
        <v>585</v>
      </c>
      <c r="D9" s="754">
        <v>0.239</v>
      </c>
      <c r="E9" s="344">
        <f>11.2/100</f>
        <v>0.11199999999999999</v>
      </c>
      <c r="F9" s="754">
        <f>10.2/100</f>
        <v>0.102</v>
      </c>
      <c r="G9" s="21"/>
      <c r="H9" s="21"/>
      <c r="I9"/>
      <c r="J9"/>
      <c r="K9"/>
      <c r="L9"/>
      <c r="M9"/>
      <c r="N9"/>
      <c r="O9"/>
      <c r="P9"/>
      <c r="Q9"/>
      <c r="R9"/>
      <c r="S9"/>
    </row>
    <row r="10" spans="2:19" ht="19.5" customHeight="1">
      <c r="B10" s="21"/>
      <c r="C10" s="523" t="s">
        <v>83</v>
      </c>
      <c r="D10" s="754">
        <v>0.115</v>
      </c>
      <c r="E10" s="227" t="s">
        <v>19</v>
      </c>
      <c r="F10" s="737" t="s">
        <v>19</v>
      </c>
      <c r="G10" s="21"/>
      <c r="H10" s="21"/>
      <c r="I10"/>
      <c r="J10"/>
      <c r="K10"/>
      <c r="L10"/>
      <c r="M10"/>
      <c r="N10"/>
      <c r="O10"/>
      <c r="P10"/>
      <c r="Q10"/>
      <c r="R10"/>
      <c r="S10"/>
    </row>
    <row r="11" spans="2:19" ht="19.5" customHeight="1">
      <c r="B11" s="21"/>
      <c r="C11" s="523" t="s">
        <v>270</v>
      </c>
      <c r="D11" s="754">
        <v>0.333</v>
      </c>
      <c r="E11" s="227" t="s">
        <v>19</v>
      </c>
      <c r="F11" s="754">
        <f>26.3/100</f>
        <v>0.263</v>
      </c>
      <c r="G11" s="21"/>
      <c r="H11" s="21"/>
      <c r="I11"/>
      <c r="J11"/>
      <c r="K11"/>
      <c r="L11"/>
      <c r="M11"/>
      <c r="N11"/>
      <c r="O11"/>
      <c r="P11"/>
      <c r="Q11"/>
      <c r="R11"/>
      <c r="S11"/>
    </row>
    <row r="12" spans="2:19" ht="19.5" customHeight="1">
      <c r="B12" s="21"/>
      <c r="C12" s="523" t="s">
        <v>86</v>
      </c>
      <c r="D12" s="754">
        <v>0.327</v>
      </c>
      <c r="E12" s="344">
        <f>4.5/100</f>
        <v>0.045</v>
      </c>
      <c r="F12" s="754">
        <f>16.9/100</f>
        <v>0.16899999999999998</v>
      </c>
      <c r="G12" s="21"/>
      <c r="H12" s="21"/>
      <c r="I12"/>
      <c r="J12"/>
      <c r="K12"/>
      <c r="L12"/>
      <c r="M12"/>
      <c r="N12"/>
      <c r="O12"/>
      <c r="P12"/>
      <c r="Q12"/>
      <c r="R12"/>
      <c r="S12"/>
    </row>
    <row r="13" spans="2:19" ht="19.5" customHeight="1">
      <c r="B13" s="21"/>
      <c r="C13" s="523" t="s">
        <v>586</v>
      </c>
      <c r="D13" s="754">
        <v>0.066</v>
      </c>
      <c r="E13" s="227" t="s">
        <v>19</v>
      </c>
      <c r="F13" s="754">
        <f>14.4/100</f>
        <v>0.14400000000000002</v>
      </c>
      <c r="G13" s="21"/>
      <c r="H13" s="21"/>
      <c r="I13"/>
      <c r="J13"/>
      <c r="K13"/>
      <c r="L13"/>
      <c r="M13"/>
      <c r="N13"/>
      <c r="O13"/>
      <c r="P13"/>
      <c r="Q13"/>
      <c r="R13"/>
      <c r="S13"/>
    </row>
    <row r="14" spans="2:19" ht="19.5" customHeight="1">
      <c r="B14" s="21"/>
      <c r="C14" s="523" t="s">
        <v>587</v>
      </c>
      <c r="D14" s="754">
        <v>0.197</v>
      </c>
      <c r="E14" s="344">
        <f>4.5/100</f>
        <v>0.045</v>
      </c>
      <c r="F14" s="754">
        <f>13.8/100</f>
        <v>0.138</v>
      </c>
      <c r="G14" s="21"/>
      <c r="H14" s="21"/>
      <c r="I14"/>
      <c r="J14"/>
      <c r="K14"/>
      <c r="L14"/>
      <c r="M14"/>
      <c r="N14"/>
      <c r="O14"/>
      <c r="P14"/>
      <c r="Q14"/>
      <c r="R14"/>
      <c r="S14"/>
    </row>
    <row r="15" spans="2:19" ht="19.5" customHeight="1" thickBot="1">
      <c r="B15" s="21"/>
      <c r="C15" s="525" t="s">
        <v>102</v>
      </c>
      <c r="D15" s="757">
        <v>0.078</v>
      </c>
      <c r="E15" s="758">
        <f>7.8/100</f>
        <v>0.078</v>
      </c>
      <c r="F15" s="757">
        <f>12.7/100</f>
        <v>0.127</v>
      </c>
      <c r="G15" s="21"/>
      <c r="H15" s="21"/>
      <c r="I15"/>
      <c r="J15"/>
      <c r="K15"/>
      <c r="L15"/>
      <c r="M15"/>
      <c r="N15"/>
      <c r="O15"/>
      <c r="P15"/>
      <c r="Q15"/>
      <c r="R15"/>
      <c r="S15"/>
    </row>
    <row r="16" spans="2:19" ht="19.5" customHeight="1" thickTop="1">
      <c r="B16" s="21"/>
      <c r="C16" s="466" t="s">
        <v>315</v>
      </c>
      <c r="D16" s="755">
        <f>AVERAGE(D8:D15)</f>
        <v>0.19787500000000002</v>
      </c>
      <c r="E16" s="753">
        <f>AVERAGE(E8:E9,E12,E14:E15)</f>
        <v>0.06599999999999999</v>
      </c>
      <c r="F16" s="755">
        <f>AVERAGE(F8:F9,F11:F15)</f>
        <v>0.1464285714285714</v>
      </c>
      <c r="G16" s="21"/>
      <c r="H16" s="21"/>
      <c r="I16"/>
      <c r="J16"/>
      <c r="K16"/>
      <c r="L16"/>
      <c r="M16"/>
      <c r="N16"/>
      <c r="O16"/>
      <c r="P16"/>
      <c r="Q16"/>
      <c r="R16"/>
      <c r="S16"/>
    </row>
    <row r="17" spans="2:19" ht="12.75">
      <c r="B17" s="21"/>
      <c r="C17" s="70" t="s">
        <v>271</v>
      </c>
      <c r="D17" s="197"/>
      <c r="E17" s="103"/>
      <c r="F17" s="103"/>
      <c r="G17" s="103"/>
      <c r="H17" s="103"/>
      <c r="I17" s="103"/>
      <c r="J17" s="191"/>
      <c r="K17" s="103"/>
      <c r="L17" s="103"/>
      <c r="M17" s="103"/>
      <c r="N17" s="103"/>
      <c r="O17" s="103"/>
      <c r="P17" s="103"/>
      <c r="Q17" s="103"/>
      <c r="R17" s="103"/>
      <c r="S17" s="104"/>
    </row>
    <row r="18" spans="2:19" ht="12.75">
      <c r="B18" s="21"/>
      <c r="C18" s="70" t="s">
        <v>42</v>
      </c>
      <c r="D18" s="191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</row>
    <row r="19" spans="2:19" ht="12.75">
      <c r="B19" s="21"/>
      <c r="C19" s="302" t="s">
        <v>588</v>
      </c>
      <c r="D19" s="191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</row>
    <row r="20" spans="2:19" ht="12.75">
      <c r="B20" s="21"/>
      <c r="C20" s="302" t="s">
        <v>589</v>
      </c>
      <c r="D20" s="191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</row>
    <row r="21" spans="2:19" ht="12.75">
      <c r="B21" s="21"/>
      <c r="C21" s="302" t="s">
        <v>590</v>
      </c>
      <c r="D21" s="191"/>
      <c r="E21" s="103"/>
      <c r="F21" s="103"/>
      <c r="G21" s="103"/>
      <c r="H21" s="103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8"/>
    </row>
    <row r="22" spans="3:4" ht="12.75">
      <c r="C22" s="99"/>
      <c r="D22" s="192"/>
    </row>
    <row r="25" ht="15">
      <c r="C25" s="81"/>
    </row>
  </sheetData>
  <printOptions horizontalCentered="1" verticalCentered="1"/>
  <pageMargins left="0.3937007874015748" right="0.3937007874015748" top="0.7874015748031497" bottom="5.97" header="0" footer="0.3937007874015748"/>
  <pageSetup fitToHeight="1" fitToWidth="1" horizontalDpi="600" verticalDpi="600" orientation="portrait" paperSize="9" scale="87" r:id="rId1"/>
  <headerFooter alignWithMargins="0">
    <oddFooter>&amp;R31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C13" sqref="C13"/>
    </sheetView>
  </sheetViews>
  <sheetFormatPr defaultColWidth="9.140625" defaultRowHeight="12.75"/>
  <cols>
    <col min="1" max="1" width="3.8515625" style="0" customWidth="1"/>
    <col min="2" max="2" width="28.421875" style="21" customWidth="1"/>
    <col min="3" max="3" width="35.7109375" style="21" customWidth="1"/>
    <col min="4" max="4" width="0" style="21" hidden="1" customWidth="1"/>
    <col min="5" max="6" width="9.140625" style="21" customWidth="1"/>
    <col min="7" max="7" width="0" style="21" hidden="1" customWidth="1"/>
    <col min="8" max="10" width="9.140625" style="21" customWidth="1"/>
    <col min="11" max="11" width="0.13671875" style="21" customWidth="1"/>
    <col min="12" max="12" width="32.140625" style="0" customWidth="1"/>
    <col min="13" max="13" width="3.57421875" style="0" customWidth="1"/>
  </cols>
  <sheetData>
    <row r="1" spans="1:13" ht="12.75">
      <c r="A1" s="21"/>
      <c r="L1" s="21"/>
      <c r="M1" s="21"/>
    </row>
    <row r="2" spans="1:14" ht="15.75">
      <c r="A2" s="21"/>
      <c r="B2" s="199" t="s">
        <v>386</v>
      </c>
      <c r="L2" s="21"/>
      <c r="M2" s="21"/>
      <c r="N2" s="21"/>
    </row>
    <row r="3" spans="1:13" ht="12.75">
      <c r="A3" s="21"/>
      <c r="L3" s="21"/>
      <c r="M3" s="21"/>
    </row>
    <row r="4" spans="1:13" s="81" customFormat="1" ht="15">
      <c r="A4" s="155"/>
      <c r="B4" s="76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24.75" customHeight="1">
      <c r="A5" s="21"/>
      <c r="C5" s="764" t="s">
        <v>333</v>
      </c>
      <c r="D5" s="17"/>
      <c r="E5" s="869" t="s">
        <v>331</v>
      </c>
      <c r="F5" s="870"/>
      <c r="G5" s="17"/>
      <c r="H5" s="869" t="s">
        <v>332</v>
      </c>
      <c r="I5" s="865"/>
      <c r="L5" s="21"/>
      <c r="M5" s="21"/>
    </row>
    <row r="6" spans="1:13" ht="24.75" customHeight="1" thickBot="1">
      <c r="A6" s="21"/>
      <c r="C6" s="765"/>
      <c r="D6" s="201" t="s">
        <v>165</v>
      </c>
      <c r="E6" s="722" t="s">
        <v>334</v>
      </c>
      <c r="F6" s="777" t="s">
        <v>335</v>
      </c>
      <c r="G6" s="437" t="s">
        <v>165</v>
      </c>
      <c r="H6" s="722" t="s">
        <v>334</v>
      </c>
      <c r="I6" s="778" t="s">
        <v>335</v>
      </c>
      <c r="L6" s="21"/>
      <c r="M6" s="21"/>
    </row>
    <row r="7" spans="1:13" ht="24.75" customHeight="1">
      <c r="A7" s="21"/>
      <c r="C7" s="779" t="s">
        <v>336</v>
      </c>
      <c r="D7" s="202">
        <f>POWER('TABLE 8'!C7/'TABLE 8'!B7,1/3)-1</f>
        <v>0.5577443555790114</v>
      </c>
      <c r="E7" s="203">
        <f>POWER('TABLE 8'!E7/'TABLE 8'!D7,1/3)-1</f>
        <v>0.5545090757108171</v>
      </c>
      <c r="F7" s="204">
        <f>POWER('TABLE 8'!G7/'TABLE 8'!F7,1/3)-1</f>
        <v>0.6727707254705353</v>
      </c>
      <c r="G7" s="202">
        <f>POWER('TABLE 8'!I7/'TABLE 8'!H7,1/3)-1</f>
        <v>0.14208835339026726</v>
      </c>
      <c r="H7" s="203">
        <f>POWER('TABLE 8'!K7/'TABLE 8'!J7,1/3)-1</f>
        <v>0.3333949903661766</v>
      </c>
      <c r="I7" s="766">
        <f>POWER('TABLE 8'!M7/'TABLE 8'!L7,1/3)-1</f>
        <v>-0.44189302076964754</v>
      </c>
      <c r="L7" s="21"/>
      <c r="M7" s="21"/>
    </row>
    <row r="8" spans="1:13" ht="24.75" customHeight="1">
      <c r="A8" s="21"/>
      <c r="C8" s="779" t="s">
        <v>337</v>
      </c>
      <c r="D8" s="202">
        <f>POWER('TABLE 8'!C10/'TABLE 8'!B10,1/3)-1</f>
        <v>0.012370464924585267</v>
      </c>
      <c r="E8" s="203">
        <f>POWER('TABLE 8'!E10/'TABLE 8'!D10,1/3)-1</f>
        <v>0.009684075093115974</v>
      </c>
      <c r="F8" s="204">
        <f>POWER('TABLE 8'!G10/'TABLE 8'!F10,1/3)-1</f>
        <v>0.2376324490707984</v>
      </c>
      <c r="G8" s="202">
        <f>POWER('TABLE 8'!I10/'TABLE 8'!H10,1/3)-1</f>
        <v>0.04848026524459792</v>
      </c>
      <c r="H8" s="203">
        <f>POWER('TABLE 8'!K10/'TABLE 8'!J10,1/3)-1</f>
        <v>0.05042451454255614</v>
      </c>
      <c r="I8" s="766">
        <f>POWER('TABLE 8'!M10/'TABLE 8'!L10,1/3)-1</f>
        <v>0.044428423211780865</v>
      </c>
      <c r="L8" s="21"/>
      <c r="M8" s="21"/>
    </row>
    <row r="9" spans="1:13" ht="24.75" customHeight="1">
      <c r="A9" s="21"/>
      <c r="C9" s="779" t="s">
        <v>338</v>
      </c>
      <c r="D9" s="202">
        <f>POWER('TABLE 8'!C11/'TABLE 8'!B11,1/3)-1</f>
        <v>0.42863714911803363</v>
      </c>
      <c r="E9" s="203">
        <f>POWER('TABLE 8'!E11/'TABLE 8'!D11,1/3)-1</f>
        <v>0.29968795798417247</v>
      </c>
      <c r="F9" s="204">
        <f>POWER('TABLE 8'!G11/'TABLE 8'!F11,1/3)-1</f>
        <v>1.0858435414800596</v>
      </c>
      <c r="G9" s="202">
        <f>POWER('TABLE 8'!I11/'TABLE 8'!H11,1/3)-1</f>
        <v>0.18741331997716348</v>
      </c>
      <c r="H9" s="203">
        <f>POWER('TABLE 8'!K11/'TABLE 8'!J11,1/3)-1</f>
        <v>0.04900223227943057</v>
      </c>
      <c r="I9" s="766">
        <f>POWER('TABLE 8'!M11/'TABLE 8'!L11,1/3)-1</f>
        <v>0.43824218769054535</v>
      </c>
      <c r="L9" s="21"/>
      <c r="M9" s="21"/>
    </row>
    <row r="10" spans="1:13" ht="24.75" customHeight="1" thickBot="1">
      <c r="A10" s="21"/>
      <c r="C10" s="780" t="s">
        <v>330</v>
      </c>
      <c r="D10" s="773">
        <f>POWER('TABLE 8'!C13/'TABLE 8'!B13,1/3)-1</f>
        <v>0.08629003651491285</v>
      </c>
      <c r="E10" s="774">
        <f>POWER('TABLE 8'!E13/'TABLE 8'!D13,1/3)-1</f>
        <v>0.16764908170848813</v>
      </c>
      <c r="F10" s="775">
        <f>POWER('TABLE 8'!G13/'TABLE 8'!F13,1/3)-1</f>
        <v>0.04666441596791704</v>
      </c>
      <c r="G10" s="773">
        <f>POWER('TABLE 8'!I13/'TABLE 8'!H13,1/3)-1</f>
        <v>0.5700510173517641</v>
      </c>
      <c r="H10" s="774">
        <f>POWER('TABLE 8'!K13/'TABLE 8'!J13,1/3)-1</f>
        <v>1.173008319182423</v>
      </c>
      <c r="I10" s="776">
        <f>POWER('TABLE 8'!M13/'TABLE 8'!L13,1/3)-1</f>
        <v>0.33837312650916873</v>
      </c>
      <c r="L10" s="21"/>
      <c r="M10" s="21"/>
    </row>
    <row r="11" spans="1:13" ht="16.5" customHeight="1" thickTop="1">
      <c r="A11" s="21"/>
      <c r="C11" s="767" t="s">
        <v>377</v>
      </c>
      <c r="D11" s="202"/>
      <c r="E11" s="203"/>
      <c r="F11" s="204"/>
      <c r="G11" s="202"/>
      <c r="H11" s="203"/>
      <c r="I11" s="766"/>
      <c r="L11" s="21"/>
      <c r="M11" s="21"/>
    </row>
    <row r="12" spans="1:13" ht="18.75" customHeight="1">
      <c r="A12" s="21"/>
      <c r="C12" s="768" t="s">
        <v>375</v>
      </c>
      <c r="D12" s="769">
        <f>POWER('TABLE 8'!C15/'TABLE 8'!B15,1/3)-1</f>
        <v>0.14429426711210724</v>
      </c>
      <c r="E12" s="770">
        <f>POWER('TABLE 8'!E15/'TABLE 8'!D15,1/3)-1</f>
        <v>0.10543329991091066</v>
      </c>
      <c r="F12" s="771">
        <f>POWER('TABLE 8'!G15/'TABLE 8'!F15,1/3)-1</f>
        <v>0.4164347720479602</v>
      </c>
      <c r="G12" s="769">
        <f>POWER('TABLE 8'!I15/'TABLE 8'!H15,1/3)-1</f>
        <v>0.11415340101189009</v>
      </c>
      <c r="H12" s="770">
        <f>POWER('TABLE 8'!K15/'TABLE 8'!J15,1/3)-1</f>
        <v>0.07596710704463261</v>
      </c>
      <c r="I12" s="772">
        <f>POWER('TABLE 8'!M15/'TABLE 8'!L15,1/3)-1</f>
        <v>0.1864187107830142</v>
      </c>
      <c r="L12" s="21"/>
      <c r="M12" s="21"/>
    </row>
    <row r="13" spans="1:13" ht="12.75">
      <c r="A13" s="21"/>
      <c r="C13" s="70" t="s">
        <v>340</v>
      </c>
      <c r="L13" s="21"/>
      <c r="M13" s="21"/>
    </row>
    <row r="14" spans="1:13" ht="12.75">
      <c r="A14" s="21"/>
      <c r="L14" s="21"/>
      <c r="M14" s="21"/>
    </row>
    <row r="15" spans="1:13" ht="12.75">
      <c r="A15" s="21"/>
      <c r="L15" s="21"/>
      <c r="M15" s="21"/>
    </row>
    <row r="16" spans="1:13" ht="12.75">
      <c r="A16" s="21"/>
      <c r="L16" s="21"/>
      <c r="M16" s="21"/>
    </row>
    <row r="17" spans="1:13" ht="12.75">
      <c r="A17" s="21"/>
      <c r="L17" s="21"/>
      <c r="M17" s="21"/>
    </row>
  </sheetData>
  <mergeCells count="2">
    <mergeCell ref="E5:F5"/>
    <mergeCell ref="H5:I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Footer>&amp;R32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workbookViewId="0" topLeftCell="A1">
      <selection activeCell="A27" sqref="A1:W27"/>
    </sheetView>
  </sheetViews>
  <sheetFormatPr defaultColWidth="9.140625" defaultRowHeight="12.75"/>
  <cols>
    <col min="2" max="2" width="0.13671875" style="0" customWidth="1"/>
    <col min="3" max="3" width="9.140625" style="0" hidden="1" customWidth="1"/>
    <col min="4" max="4" width="14.8515625" style="0" hidden="1" customWidth="1"/>
    <col min="5" max="5" width="17.00390625" style="0" customWidth="1"/>
    <col min="6" max="6" width="22.421875" style="0" customWidth="1"/>
    <col min="7" max="7" width="17.00390625" style="0" customWidth="1"/>
    <col min="8" max="17" width="17.00390625" style="0" hidden="1" customWidth="1"/>
    <col min="18" max="19" width="17.00390625" style="0" customWidth="1"/>
    <col min="20" max="21" width="17.00390625" style="0" hidden="1" customWidth="1"/>
    <col min="22" max="22" width="17.00390625" style="0" customWidth="1"/>
    <col min="23" max="23" width="16.140625" style="0" customWidth="1"/>
    <col min="24" max="24" width="15.7109375" style="0" customWidth="1"/>
    <col min="25" max="25" width="10.28125" style="0" hidden="1" customWidth="1"/>
    <col min="26" max="26" width="0.13671875" style="0" hidden="1" customWidth="1"/>
  </cols>
  <sheetData>
    <row r="1" spans="1:24" ht="31.5" customHeight="1">
      <c r="A1" s="21"/>
      <c r="B1" s="21"/>
      <c r="C1" s="21"/>
      <c r="D1" s="18"/>
      <c r="E1" s="199" t="s">
        <v>387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31"/>
    </row>
    <row r="2" spans="1:24" ht="18.75" customHeight="1" thickBot="1">
      <c r="A2" s="21"/>
      <c r="B2" s="21"/>
      <c r="C2" s="21"/>
      <c r="D2" s="18"/>
      <c r="E2" s="37"/>
      <c r="F2" s="38"/>
      <c r="G2" s="38"/>
      <c r="H2" s="21"/>
      <c r="I2" s="28"/>
      <c r="J2" s="39"/>
      <c r="K2" s="38"/>
      <c r="L2" s="39"/>
      <c r="M2" s="38"/>
      <c r="N2" s="21"/>
      <c r="O2" s="21"/>
      <c r="P2" s="21"/>
      <c r="Q2" s="21"/>
      <c r="R2" s="21"/>
      <c r="S2" s="21"/>
      <c r="T2" s="21"/>
      <c r="U2" s="21"/>
      <c r="V2" s="21"/>
      <c r="W2" s="21"/>
      <c r="X2" s="32"/>
    </row>
    <row r="3" spans="1:37" ht="15">
      <c r="A3" s="21"/>
      <c r="B3" s="21"/>
      <c r="C3" s="21"/>
      <c r="D3" s="18"/>
      <c r="E3" s="783"/>
      <c r="F3" s="787" t="s">
        <v>50</v>
      </c>
      <c r="G3" s="788"/>
      <c r="H3" s="789"/>
      <c r="I3" s="788"/>
      <c r="J3" s="790"/>
      <c r="K3" s="788"/>
      <c r="L3" s="791"/>
      <c r="M3" s="790"/>
      <c r="N3" s="791"/>
      <c r="O3" s="790"/>
      <c r="P3" s="791"/>
      <c r="Q3" s="790"/>
      <c r="R3" s="791"/>
      <c r="S3" s="790"/>
      <c r="T3" s="790"/>
      <c r="U3" s="791"/>
      <c r="V3" s="805"/>
      <c r="W3" s="21"/>
      <c r="X3" s="32"/>
      <c r="AI3" s="40"/>
      <c r="AJ3" s="41"/>
      <c r="AK3" s="42"/>
    </row>
    <row r="4" spans="1:37" ht="15.75" thickBot="1">
      <c r="A4" s="21"/>
      <c r="B4" s="21"/>
      <c r="C4" s="21"/>
      <c r="D4" s="18"/>
      <c r="E4" s="798" t="s">
        <v>0</v>
      </c>
      <c r="F4" s="792" t="s">
        <v>56</v>
      </c>
      <c r="G4" s="792" t="s">
        <v>57</v>
      </c>
      <c r="H4" s="793" t="s">
        <v>51</v>
      </c>
      <c r="I4" s="792">
        <v>8922</v>
      </c>
      <c r="J4" s="794">
        <v>89242</v>
      </c>
      <c r="K4" s="792">
        <v>89281</v>
      </c>
      <c r="L4" s="795">
        <v>89282</v>
      </c>
      <c r="M4" s="794">
        <v>89284</v>
      </c>
      <c r="N4" s="795">
        <v>89285</v>
      </c>
      <c r="O4" s="794">
        <v>89286</v>
      </c>
      <c r="P4" s="795">
        <v>89287</v>
      </c>
      <c r="Q4" s="794">
        <v>89289</v>
      </c>
      <c r="R4" s="795" t="s">
        <v>58</v>
      </c>
      <c r="S4" s="794" t="s">
        <v>59</v>
      </c>
      <c r="T4" s="796">
        <v>8986</v>
      </c>
      <c r="U4" s="797">
        <v>8987</v>
      </c>
      <c r="V4" s="799" t="s">
        <v>40</v>
      </c>
      <c r="W4" s="21"/>
      <c r="X4" s="32"/>
      <c r="AI4" s="43">
        <v>89431</v>
      </c>
      <c r="AJ4" s="44">
        <v>8986</v>
      </c>
      <c r="AK4" s="45">
        <v>8987</v>
      </c>
    </row>
    <row r="5" spans="1:37" ht="12.75">
      <c r="A5" s="21"/>
      <c r="B5" s="21"/>
      <c r="C5" s="21"/>
      <c r="D5" s="18"/>
      <c r="E5" s="784" t="s">
        <v>10</v>
      </c>
      <c r="F5" s="22"/>
      <c r="G5" s="22"/>
      <c r="H5" s="786"/>
      <c r="I5" s="22"/>
      <c r="J5" s="786"/>
      <c r="K5" s="22"/>
      <c r="L5" s="28"/>
      <c r="M5" s="786"/>
      <c r="N5" s="28"/>
      <c r="O5" s="786"/>
      <c r="P5" s="28"/>
      <c r="Q5" s="786"/>
      <c r="R5" s="28"/>
      <c r="S5" s="786"/>
      <c r="T5" s="786"/>
      <c r="U5" s="28"/>
      <c r="V5" s="800"/>
      <c r="W5" s="21"/>
      <c r="X5" s="32"/>
      <c r="AI5" s="47"/>
      <c r="AJ5" s="46"/>
      <c r="AK5" s="48"/>
    </row>
    <row r="6" spans="1:37" ht="12.75">
      <c r="A6" s="21"/>
      <c r="B6" s="21"/>
      <c r="C6" s="21"/>
      <c r="D6" s="18"/>
      <c r="E6" s="220" t="s">
        <v>46</v>
      </c>
      <c r="F6" s="214">
        <f>9647.07/1000</f>
        <v>9.64707</v>
      </c>
      <c r="G6" s="214">
        <f>SUM(H6:Q6)</f>
        <v>2064.064839</v>
      </c>
      <c r="H6" s="215">
        <f>972886.3/1000</f>
        <v>972.8863</v>
      </c>
      <c r="I6" s="214">
        <f>645356.15/1000</f>
        <v>645.3561500000001</v>
      </c>
      <c r="J6" s="215">
        <f>96762.579/1000</f>
        <v>96.762579</v>
      </c>
      <c r="K6" s="214">
        <f>60287.326/1000</f>
        <v>60.287326</v>
      </c>
      <c r="L6" s="216">
        <f>3006.934/1000</f>
        <v>3.006934</v>
      </c>
      <c r="M6" s="215">
        <f>22244.672/1000</f>
        <v>22.244671999999998</v>
      </c>
      <c r="N6" s="216">
        <f>9365.887/1000</f>
        <v>9.365887</v>
      </c>
      <c r="O6" s="215">
        <f>129410.719/1000</f>
        <v>129.410719</v>
      </c>
      <c r="P6" s="216">
        <f>73114.24/1000</f>
        <v>73.11424000000001</v>
      </c>
      <c r="Q6" s="215">
        <f>51630.032/1000</f>
        <v>51.630032</v>
      </c>
      <c r="R6" s="216">
        <f>AI6/1000</f>
        <v>151.35887599999998</v>
      </c>
      <c r="S6" s="215">
        <f>SUM(T6:U6)</f>
        <v>997.885727</v>
      </c>
      <c r="T6" s="215">
        <f>AJ6/1000</f>
        <v>138.161038</v>
      </c>
      <c r="U6" s="216">
        <f>AK6/1000</f>
        <v>859.724689</v>
      </c>
      <c r="V6" s="801">
        <f>SUM(F6,G6,R6,S6)</f>
        <v>3222.9565119999997</v>
      </c>
      <c r="W6" s="21"/>
      <c r="X6" s="32"/>
      <c r="AI6" s="49">
        <v>151358.876</v>
      </c>
      <c r="AJ6" s="50">
        <v>138161.038</v>
      </c>
      <c r="AK6" s="51">
        <v>859724.689</v>
      </c>
    </row>
    <row r="7" spans="1:37" ht="12.75">
      <c r="A7" s="21"/>
      <c r="B7" s="21"/>
      <c r="C7" s="52">
        <v>353786</v>
      </c>
      <c r="D7" s="64">
        <v>353879</v>
      </c>
      <c r="E7" s="785" t="s">
        <v>47</v>
      </c>
      <c r="F7" s="217">
        <f>65045.211/1000</f>
        <v>65.04521100000001</v>
      </c>
      <c r="G7" s="217">
        <f>SUM(H7:Q7)</f>
        <v>860.9995289999999</v>
      </c>
      <c r="H7" s="218">
        <f>237899.257/1000</f>
        <v>237.899257</v>
      </c>
      <c r="I7" s="217">
        <f>143685.3/1000</f>
        <v>143.68529999999998</v>
      </c>
      <c r="J7" s="218">
        <f>38594.439/1000</f>
        <v>38.594439</v>
      </c>
      <c r="K7" s="217">
        <f>101320.995/1000</f>
        <v>101.320995</v>
      </c>
      <c r="L7" s="219">
        <f>2892.826/1000</f>
        <v>2.892826</v>
      </c>
      <c r="M7" s="218">
        <f>12372.321/1000</f>
        <v>12.372321</v>
      </c>
      <c r="N7" s="219">
        <f>163.166/1000</f>
        <v>0.163166</v>
      </c>
      <c r="O7" s="218">
        <f>160960.466/1000</f>
        <v>160.960466</v>
      </c>
      <c r="P7" s="219">
        <f>63332.784/1000</f>
        <v>63.332784</v>
      </c>
      <c r="Q7" s="218">
        <f>99777.975/1000</f>
        <v>99.77797500000001</v>
      </c>
      <c r="R7" s="216">
        <f>AI7/1000</f>
        <v>46.697739999999996</v>
      </c>
      <c r="S7" s="215">
        <f>SUM(T7:U7)</f>
        <v>412.98128199999996</v>
      </c>
      <c r="T7" s="215">
        <f>AJ7/1000</f>
        <v>34.794205999999996</v>
      </c>
      <c r="U7" s="216">
        <f>AK7/1000</f>
        <v>378.187076</v>
      </c>
      <c r="V7" s="801">
        <f>SUM(F7,G7,R7,S7)</f>
        <v>1385.7237619999999</v>
      </c>
      <c r="W7" s="21"/>
      <c r="X7" s="32"/>
      <c r="Z7" s="1">
        <v>935766.062</v>
      </c>
      <c r="AI7" s="54">
        <v>46697.74</v>
      </c>
      <c r="AJ7" s="55">
        <v>34794.206</v>
      </c>
      <c r="AK7" s="51">
        <v>378187.076</v>
      </c>
    </row>
    <row r="8" spans="1:37" ht="12.75">
      <c r="A8" s="21"/>
      <c r="B8" s="21"/>
      <c r="C8" s="22">
        <v>301238</v>
      </c>
      <c r="D8" s="28">
        <v>375140</v>
      </c>
      <c r="E8" s="784" t="s">
        <v>52</v>
      </c>
      <c r="F8" s="214"/>
      <c r="G8" s="214"/>
      <c r="H8" s="220"/>
      <c r="I8" s="220"/>
      <c r="J8" s="220"/>
      <c r="K8" s="220"/>
      <c r="L8" s="220"/>
      <c r="M8" s="220"/>
      <c r="N8" s="215"/>
      <c r="O8" s="215"/>
      <c r="P8" s="215"/>
      <c r="Q8" s="215"/>
      <c r="R8" s="221"/>
      <c r="S8" s="222"/>
      <c r="T8" s="222"/>
      <c r="U8" s="223"/>
      <c r="V8" s="802"/>
      <c r="W8" s="21"/>
      <c r="X8" s="32"/>
      <c r="Z8" s="1">
        <v>306547.998</v>
      </c>
      <c r="AI8" s="50"/>
      <c r="AJ8" s="56"/>
      <c r="AK8" s="16"/>
    </row>
    <row r="9" spans="1:37" ht="12.75">
      <c r="A9" s="21"/>
      <c r="B9" s="21"/>
      <c r="C9" s="52">
        <v>6092</v>
      </c>
      <c r="D9" s="64">
        <v>3016</v>
      </c>
      <c r="E9" s="220" t="s">
        <v>46</v>
      </c>
      <c r="F9" s="214">
        <f>106886.447/1000</f>
        <v>106.886447</v>
      </c>
      <c r="G9" s="214">
        <f>SUM(H9:Q9)</f>
        <v>2668.465884</v>
      </c>
      <c r="H9" s="215">
        <f>1521024.583/1000</f>
        <v>1521.0245830000001</v>
      </c>
      <c r="I9" s="215">
        <f>235990.429/1000</f>
        <v>235.990429</v>
      </c>
      <c r="J9" s="215">
        <f>134990.837/1000</f>
        <v>134.990837</v>
      </c>
      <c r="K9" s="215">
        <f>141907.521/1000</f>
        <v>141.907521</v>
      </c>
      <c r="L9" s="215">
        <f>32939.632/1000</f>
        <v>32.939631999999996</v>
      </c>
      <c r="M9" s="215">
        <f>91870.85/1000</f>
        <v>91.87085</v>
      </c>
      <c r="N9" s="215">
        <f>5769.432/1000</f>
        <v>5.769432</v>
      </c>
      <c r="O9" s="215">
        <f>295359.116/1000</f>
        <v>295.359116</v>
      </c>
      <c r="P9" s="215">
        <f>115614.635/1000</f>
        <v>115.61463499999999</v>
      </c>
      <c r="Q9" s="215">
        <f>92998.849/1000</f>
        <v>92.998849</v>
      </c>
      <c r="R9" s="224">
        <f>AI9/1000</f>
        <v>1782.454886</v>
      </c>
      <c r="S9" s="215">
        <f>SUM(T9:U9)</f>
        <v>1022.274767</v>
      </c>
      <c r="T9" s="215">
        <f aca="true" t="shared" si="0" ref="T9:U11">AJ9/1000</f>
        <v>116.115912</v>
      </c>
      <c r="U9" s="216">
        <f t="shared" si="0"/>
        <v>906.158855</v>
      </c>
      <c r="V9" s="801">
        <f>SUM(F9,G9,R9,S9)</f>
        <v>5580.0819839999995</v>
      </c>
      <c r="W9" s="21"/>
      <c r="X9" s="32"/>
      <c r="AA9" s="56"/>
      <c r="AI9" s="50">
        <v>1782454.886</v>
      </c>
      <c r="AJ9" s="50">
        <v>116115.912</v>
      </c>
      <c r="AK9" s="51">
        <v>906158.855</v>
      </c>
    </row>
    <row r="10" spans="1:37" ht="12.75">
      <c r="A10" s="21"/>
      <c r="B10" s="21"/>
      <c r="C10" s="24"/>
      <c r="D10" s="781"/>
      <c r="E10" s="706" t="s">
        <v>47</v>
      </c>
      <c r="F10" s="214">
        <f>35257.854/1000</f>
        <v>35.257854</v>
      </c>
      <c r="G10" s="214">
        <f>SUM(H10:Q10)</f>
        <v>4094.403659</v>
      </c>
      <c r="H10" s="215">
        <f>2019012.024/1000</f>
        <v>2019.0120239999999</v>
      </c>
      <c r="I10" s="215">
        <f>847345.641/1000</f>
        <v>847.345641</v>
      </c>
      <c r="J10" s="215">
        <f>161817.002/1000</f>
        <v>161.817002</v>
      </c>
      <c r="K10" s="215">
        <f>236603.387/1000</f>
        <v>236.603387</v>
      </c>
      <c r="L10" s="215">
        <f>31878.589/1000</f>
        <v>31.878589</v>
      </c>
      <c r="M10" s="215">
        <f>28815.94/1000</f>
        <v>28.815939999999998</v>
      </c>
      <c r="N10" s="215">
        <f>27142.003/1000</f>
        <v>27.142003</v>
      </c>
      <c r="O10" s="215">
        <f>325259.653/1000</f>
        <v>325.259653</v>
      </c>
      <c r="P10" s="215">
        <f>116568.261/1000</f>
        <v>116.56826099999999</v>
      </c>
      <c r="Q10" s="215">
        <f>299961.159/1000</f>
        <v>299.961159</v>
      </c>
      <c r="R10" s="224">
        <f>AI10/1000</f>
        <v>180.366403</v>
      </c>
      <c r="S10" s="215">
        <f>SUM(T10:U10)</f>
        <v>3453.023424</v>
      </c>
      <c r="T10" s="215">
        <f t="shared" si="0"/>
        <v>426.720818</v>
      </c>
      <c r="U10" s="216">
        <f t="shared" si="0"/>
        <v>3026.302606</v>
      </c>
      <c r="V10" s="801">
        <f>SUM(F10,G10,R10,S10)</f>
        <v>7763.05134</v>
      </c>
      <c r="W10" s="21"/>
      <c r="X10" s="32"/>
      <c r="Z10" s="1">
        <v>798503.034</v>
      </c>
      <c r="AI10" s="50">
        <v>180366.403</v>
      </c>
      <c r="AJ10" s="50">
        <v>426720.818</v>
      </c>
      <c r="AK10" s="51">
        <v>3026302.606</v>
      </c>
    </row>
    <row r="11" spans="1:37" ht="12.75">
      <c r="A11" s="21"/>
      <c r="B11" s="21"/>
      <c r="C11" s="52">
        <v>10449730</v>
      </c>
      <c r="D11" s="64">
        <v>11139422</v>
      </c>
      <c r="E11" s="785" t="s">
        <v>48</v>
      </c>
      <c r="F11" s="214">
        <f>610.961/1000</f>
        <v>0.610961</v>
      </c>
      <c r="G11" s="214">
        <f>SUM(H11:Q11)</f>
        <v>63.295373</v>
      </c>
      <c r="H11" s="215">
        <f>32309.005/1000</f>
        <v>32.309005</v>
      </c>
      <c r="I11" s="215">
        <f>2984.251/1000</f>
        <v>2.984251</v>
      </c>
      <c r="J11" s="215">
        <f>2587.325/1000</f>
        <v>2.587325</v>
      </c>
      <c r="K11" s="215">
        <f>4242.985/1000</f>
        <v>4.242985</v>
      </c>
      <c r="L11" s="215">
        <f>467.305/1000</f>
        <v>0.467305</v>
      </c>
      <c r="M11" s="215">
        <f>3559.915/1000</f>
        <v>3.559915</v>
      </c>
      <c r="N11" s="215">
        <f>238.5/1000</f>
        <v>0.2385</v>
      </c>
      <c r="O11" s="215">
        <f>6963.828/1000</f>
        <v>6.963828</v>
      </c>
      <c r="P11" s="215">
        <f>6176.419/1000</f>
        <v>6.176419</v>
      </c>
      <c r="Q11" s="215">
        <f>3765.84/1000</f>
        <v>3.7658400000000003</v>
      </c>
      <c r="R11" s="224">
        <f>AI11/1000</f>
        <v>121.608881</v>
      </c>
      <c r="S11" s="215">
        <f>SUM(T11:U11)</f>
        <v>94.244461</v>
      </c>
      <c r="T11" s="215">
        <f t="shared" si="0"/>
        <v>11.055204999999999</v>
      </c>
      <c r="U11" s="216">
        <f t="shared" si="0"/>
        <v>83.189256</v>
      </c>
      <c r="V11" s="801">
        <f>SUM(F11,G11,R11,S11)</f>
        <v>279.759676</v>
      </c>
      <c r="W11" s="21"/>
      <c r="X11" s="32"/>
      <c r="Z11" s="1">
        <v>3297574.024</v>
      </c>
      <c r="AI11" s="55">
        <v>121608.881</v>
      </c>
      <c r="AJ11" s="55">
        <v>11055.205</v>
      </c>
      <c r="AK11" s="57">
        <v>83189.256</v>
      </c>
    </row>
    <row r="12" spans="1:37" ht="12.75">
      <c r="A12" s="21"/>
      <c r="B12" s="21"/>
      <c r="C12" s="22">
        <v>10397924</v>
      </c>
      <c r="D12" s="28">
        <v>11099232</v>
      </c>
      <c r="E12" s="784" t="s">
        <v>53</v>
      </c>
      <c r="F12" s="225"/>
      <c r="G12" s="225"/>
      <c r="H12" s="226"/>
      <c r="I12" s="226"/>
      <c r="J12" s="222"/>
      <c r="K12" s="222"/>
      <c r="L12" s="226"/>
      <c r="M12" s="226"/>
      <c r="N12" s="222"/>
      <c r="O12" s="222"/>
      <c r="P12" s="222"/>
      <c r="Q12" s="222"/>
      <c r="R12" s="223"/>
      <c r="S12" s="222"/>
      <c r="T12" s="222"/>
      <c r="U12" s="223"/>
      <c r="V12" s="802"/>
      <c r="W12" s="21"/>
      <c r="X12" s="32"/>
      <c r="Z12" s="1">
        <v>60997.557</v>
      </c>
      <c r="AI12" s="50"/>
      <c r="AJ12" s="50"/>
      <c r="AK12" s="51"/>
    </row>
    <row r="13" spans="1:37" ht="12.75">
      <c r="A13" s="21"/>
      <c r="B13" s="21"/>
      <c r="C13" s="58">
        <v>174173</v>
      </c>
      <c r="D13" s="782">
        <v>199115</v>
      </c>
      <c r="E13" s="220" t="s">
        <v>46</v>
      </c>
      <c r="F13" s="214">
        <f>88040.95/1000</f>
        <v>88.04095</v>
      </c>
      <c r="G13" s="214">
        <f>SUM(H13:Q13)</f>
        <v>10134.917645</v>
      </c>
      <c r="H13" s="215">
        <f>4298974.879/1000</f>
        <v>4298.974878999999</v>
      </c>
      <c r="I13" s="215">
        <f>2163697.934/1000</f>
        <v>2163.697934</v>
      </c>
      <c r="J13" s="215">
        <f>198157.8/1000</f>
        <v>198.15779999999998</v>
      </c>
      <c r="K13" s="215">
        <f>678688.363/1000</f>
        <v>678.688363</v>
      </c>
      <c r="L13" s="215">
        <f>49467.518/1000</f>
        <v>49.467518</v>
      </c>
      <c r="M13" s="215">
        <f>108170.447/1000</f>
        <v>108.170447</v>
      </c>
      <c r="N13" s="215">
        <f>50186.423/1000</f>
        <v>50.186423000000005</v>
      </c>
      <c r="O13" s="215">
        <f>1793069.93/1000</f>
        <v>1793.0699299999999</v>
      </c>
      <c r="P13" s="215">
        <f>317375.893/1000</f>
        <v>317.37589299999996</v>
      </c>
      <c r="Q13" s="215">
        <f>477128.458/1000</f>
        <v>477.12845799999997</v>
      </c>
      <c r="R13" s="216">
        <f>AI13/1000</f>
        <v>1141.393215</v>
      </c>
      <c r="S13" s="215">
        <f>SUM(T13:U13)</f>
        <v>8382.476173000001</v>
      </c>
      <c r="T13" s="215">
        <f>AJ13/1000</f>
        <v>1089.999506</v>
      </c>
      <c r="U13" s="216">
        <f>AK13/1000</f>
        <v>7292.476667000001</v>
      </c>
      <c r="V13" s="801">
        <f>SUM(F13,G13,R13,S13)</f>
        <v>19746.827983000003</v>
      </c>
      <c r="W13" s="21"/>
      <c r="X13" s="32"/>
      <c r="AI13" s="50">
        <v>1141393.215</v>
      </c>
      <c r="AJ13" s="50">
        <v>1089999.506</v>
      </c>
      <c r="AK13" s="51">
        <v>7292476.667</v>
      </c>
    </row>
    <row r="14" spans="1:37" ht="12.75">
      <c r="A14" s="21"/>
      <c r="B14" s="21"/>
      <c r="C14" s="22"/>
      <c r="D14" s="28"/>
      <c r="E14" s="706" t="s">
        <v>47</v>
      </c>
      <c r="F14" s="214">
        <f>111120.129/1000</f>
        <v>111.120129</v>
      </c>
      <c r="G14" s="214">
        <f>SUM(H14:Q14)</f>
        <v>14591.027333000002</v>
      </c>
      <c r="H14" s="215">
        <f>5912085.936/1000</f>
        <v>5912.0859359999995</v>
      </c>
      <c r="I14" s="215">
        <f>3277460.584/1000</f>
        <v>3277.460584</v>
      </c>
      <c r="J14" s="215">
        <f>257116.55/1000</f>
        <v>257.11654999999996</v>
      </c>
      <c r="K14" s="215">
        <f>897684.402/1000</f>
        <v>897.684402</v>
      </c>
      <c r="L14" s="215">
        <f>148347.784/1000</f>
        <v>148.34778400000002</v>
      </c>
      <c r="M14" s="215">
        <f>136166.461/1000</f>
        <v>136.166461</v>
      </c>
      <c r="N14" s="215">
        <f>55963.55/1000</f>
        <v>55.963550000000005</v>
      </c>
      <c r="O14" s="215">
        <f>2849523.886/1000</f>
        <v>2849.523886</v>
      </c>
      <c r="P14" s="215">
        <f>389749.429/1000</f>
        <v>389.749429</v>
      </c>
      <c r="Q14" s="215">
        <f>666928.751/1000</f>
        <v>666.928751</v>
      </c>
      <c r="R14" s="216">
        <f>AI14/1000</f>
        <v>613.908826</v>
      </c>
      <c r="S14" s="215">
        <f>SUM(T14:U14)</f>
        <v>9445.567396</v>
      </c>
      <c r="T14" s="215">
        <f>AJ14/1000</f>
        <v>963.818005</v>
      </c>
      <c r="U14" s="216">
        <f>AK14/1000</f>
        <v>8481.749391000001</v>
      </c>
      <c r="V14" s="801">
        <f>SUM(F14,G14,R14,S14)</f>
        <v>24761.623684000006</v>
      </c>
      <c r="W14" s="21"/>
      <c r="X14" s="32"/>
      <c r="AI14" s="50">
        <v>613908.826</v>
      </c>
      <c r="AJ14" s="50">
        <v>963818.005</v>
      </c>
      <c r="AK14" s="51">
        <v>8481749.391</v>
      </c>
    </row>
    <row r="15" spans="1:37" ht="12.75">
      <c r="A15" s="21"/>
      <c r="B15" s="21"/>
      <c r="C15" s="52">
        <v>4636072</v>
      </c>
      <c r="D15" s="64">
        <v>4665621</v>
      </c>
      <c r="E15" s="784" t="s">
        <v>54</v>
      </c>
      <c r="F15" s="214"/>
      <c r="G15" s="214"/>
      <c r="H15" s="220"/>
      <c r="I15" s="220"/>
      <c r="J15" s="220"/>
      <c r="K15" s="220"/>
      <c r="L15" s="220"/>
      <c r="M15" s="220"/>
      <c r="N15" s="215"/>
      <c r="O15" s="215"/>
      <c r="P15" s="215"/>
      <c r="Q15" s="215"/>
      <c r="R15" s="216"/>
      <c r="S15" s="215"/>
      <c r="T15" s="215"/>
      <c r="U15" s="216"/>
      <c r="V15" s="803"/>
      <c r="W15" s="21"/>
      <c r="X15" s="32"/>
      <c r="AI15" s="50"/>
      <c r="AJ15" s="56"/>
      <c r="AK15" s="18"/>
    </row>
    <row r="16" spans="1:37" ht="12.75">
      <c r="A16" s="21"/>
      <c r="B16" s="21"/>
      <c r="C16" s="22">
        <v>4888264</v>
      </c>
      <c r="D16" s="28">
        <v>4774934</v>
      </c>
      <c r="E16" s="220" t="s">
        <v>46</v>
      </c>
      <c r="F16" s="214">
        <f>50684.648/1000</f>
        <v>50.684648</v>
      </c>
      <c r="G16" s="214">
        <f>SUM(H16:Q16)</f>
        <v>7517.089666</v>
      </c>
      <c r="H16" s="215">
        <f>2766058.268/1000</f>
        <v>2766.058268</v>
      </c>
      <c r="I16" s="215">
        <f>1866058.989/1000</f>
        <v>1866.058989</v>
      </c>
      <c r="J16" s="215">
        <f>140229.822/1000</f>
        <v>140.22982199999998</v>
      </c>
      <c r="K16" s="215">
        <f>589265.794/1000</f>
        <v>589.265794</v>
      </c>
      <c r="L16" s="215">
        <f>36727.032/1000</f>
        <v>36.727032</v>
      </c>
      <c r="M16" s="215">
        <f>71346.09/1000</f>
        <v>71.34608999999999</v>
      </c>
      <c r="N16" s="215">
        <f>34025.088/1000</f>
        <v>34.025088000000004</v>
      </c>
      <c r="O16" s="215">
        <f>1443790.592/1000</f>
        <v>1443.7905919999998</v>
      </c>
      <c r="P16" s="215">
        <f>235635.381/1000</f>
        <v>235.635381</v>
      </c>
      <c r="Q16" s="215">
        <f>333952.61/1000</f>
        <v>333.95261</v>
      </c>
      <c r="R16" s="216">
        <f>AI16/1000</f>
        <v>392.486042</v>
      </c>
      <c r="S16" s="215">
        <f>SUM(T16:U16)</f>
        <v>6120.347931</v>
      </c>
      <c r="T16" s="215">
        <f>AJ16/1000</f>
        <v>894.9080429999999</v>
      </c>
      <c r="U16" s="216">
        <f>AK16/1000</f>
        <v>5225.439888</v>
      </c>
      <c r="V16" s="801">
        <f>SUM(F16,G16,R16,S16)</f>
        <v>14080.608287000001</v>
      </c>
      <c r="W16" s="21"/>
      <c r="X16" s="32"/>
      <c r="AI16" s="50">
        <v>392486.042</v>
      </c>
      <c r="AJ16" s="50">
        <v>894908.043</v>
      </c>
      <c r="AK16" s="51">
        <v>5225439.888</v>
      </c>
    </row>
    <row r="17" spans="1:37" ht="12.75">
      <c r="A17" s="21"/>
      <c r="B17" s="21"/>
      <c r="C17" s="52">
        <v>11644</v>
      </c>
      <c r="D17" s="64">
        <v>10265</v>
      </c>
      <c r="E17" s="706" t="s">
        <v>47</v>
      </c>
      <c r="F17" s="214">
        <f>62568.871/1000</f>
        <v>62.568871</v>
      </c>
      <c r="G17" s="214">
        <f>SUM(H17:Q17)</f>
        <v>9063.920538999999</v>
      </c>
      <c r="H17" s="215">
        <f>3162750.264/1000</f>
        <v>3162.750264</v>
      </c>
      <c r="I17" s="215">
        <f>2197407.172/1000</f>
        <v>2197.4071719999997</v>
      </c>
      <c r="J17" s="215">
        <f>164514.713/1000</f>
        <v>164.514713</v>
      </c>
      <c r="K17" s="215">
        <f>566156.645/1000</f>
        <v>566.156645</v>
      </c>
      <c r="L17" s="215">
        <f>42954.064/1000</f>
        <v>42.954063999999995</v>
      </c>
      <c r="M17" s="215">
        <f>75445.898/1000</f>
        <v>75.445898</v>
      </c>
      <c r="N17" s="215">
        <f>37732.569/1000</f>
        <v>37.732569000000005</v>
      </c>
      <c r="O17" s="215">
        <f>2208351.943/1000</f>
        <v>2208.351943</v>
      </c>
      <c r="P17" s="215">
        <f>275951.982/1000</f>
        <v>275.95198200000004</v>
      </c>
      <c r="Q17" s="215">
        <f>332655.289/1000</f>
        <v>332.655289</v>
      </c>
      <c r="R17" s="216">
        <f>AI17/1000</f>
        <v>573.9382780000001</v>
      </c>
      <c r="S17" s="215">
        <f>SUM(T17:U17)</f>
        <v>6659.644823999999</v>
      </c>
      <c r="T17" s="215">
        <f>AJ17/1000</f>
        <v>719.501372</v>
      </c>
      <c r="U17" s="216">
        <f>AK17/1000</f>
        <v>5940.143451999999</v>
      </c>
      <c r="V17" s="801">
        <f>SUM(F17,G17,R17,S17)</f>
        <v>16360.072511999997</v>
      </c>
      <c r="W17" s="21"/>
      <c r="X17" s="32"/>
      <c r="AI17" s="50">
        <v>573938.278</v>
      </c>
      <c r="AJ17" s="50">
        <v>719501.372</v>
      </c>
      <c r="AK17" s="51">
        <v>5940143.452</v>
      </c>
    </row>
    <row r="18" spans="1:37" ht="12.75">
      <c r="A18" s="21"/>
      <c r="B18" s="21"/>
      <c r="C18" s="24"/>
      <c r="D18" s="781"/>
      <c r="E18" s="784" t="s">
        <v>55</v>
      </c>
      <c r="F18" s="214"/>
      <c r="G18" s="214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6"/>
      <c r="S18" s="215"/>
      <c r="T18" s="215"/>
      <c r="U18" s="216"/>
      <c r="V18" s="801"/>
      <c r="W18" s="21"/>
      <c r="X18" s="32"/>
      <c r="AI18" s="50"/>
      <c r="AJ18" s="50"/>
      <c r="AK18" s="51"/>
    </row>
    <row r="19" spans="1:37" ht="12.75">
      <c r="A19" s="21"/>
      <c r="B19" s="21"/>
      <c r="C19" s="52">
        <v>578908</v>
      </c>
      <c r="D19" s="64">
        <v>609929</v>
      </c>
      <c r="E19" s="706" t="s">
        <v>46</v>
      </c>
      <c r="F19" s="214">
        <f>(F13-F16)</f>
        <v>37.35630199999999</v>
      </c>
      <c r="G19" s="214">
        <f>SUM(H19:Q19)</f>
        <v>2617.8279789999983</v>
      </c>
      <c r="H19" s="214">
        <f aca="true" t="shared" si="1" ref="H19:Q19">(H13-H16)</f>
        <v>1532.9166109999992</v>
      </c>
      <c r="I19" s="214">
        <f t="shared" si="1"/>
        <v>297.6389449999997</v>
      </c>
      <c r="J19" s="214">
        <f t="shared" si="1"/>
        <v>57.927977999999996</v>
      </c>
      <c r="K19" s="214">
        <f t="shared" si="1"/>
        <v>89.42256899999995</v>
      </c>
      <c r="L19" s="214">
        <f t="shared" si="1"/>
        <v>12.740485999999997</v>
      </c>
      <c r="M19" s="214">
        <f t="shared" si="1"/>
        <v>36.824357000000006</v>
      </c>
      <c r="N19" s="214">
        <f t="shared" si="1"/>
        <v>16.161335</v>
      </c>
      <c r="O19" s="214">
        <f t="shared" si="1"/>
        <v>349.27933800000005</v>
      </c>
      <c r="P19" s="214">
        <f t="shared" si="1"/>
        <v>81.74051199999997</v>
      </c>
      <c r="Q19" s="214">
        <f t="shared" si="1"/>
        <v>143.17584799999997</v>
      </c>
      <c r="R19" s="216">
        <f>AI19/1000</f>
        <v>748.9071730000001</v>
      </c>
      <c r="S19" s="215">
        <f>SUM(T19:U19)</f>
        <v>2262.1282420000002</v>
      </c>
      <c r="T19" s="215">
        <f>AJ19/1000</f>
        <v>195.09146300000012</v>
      </c>
      <c r="U19" s="216">
        <f>AK19/1000</f>
        <v>2067.036779</v>
      </c>
      <c r="V19" s="801">
        <f>SUM(F19,G19,R19,S19)</f>
        <v>5666.219695999998</v>
      </c>
      <c r="W19" s="21"/>
      <c r="X19" s="32"/>
      <c r="AI19" s="59">
        <f aca="true" t="shared" si="2" ref="AI19:AK20">(AI13-AI16)</f>
        <v>748907.1730000001</v>
      </c>
      <c r="AJ19" s="59">
        <f t="shared" si="2"/>
        <v>195091.4630000001</v>
      </c>
      <c r="AK19" s="49">
        <f t="shared" si="2"/>
        <v>2067036.779</v>
      </c>
    </row>
    <row r="20" spans="1:37" ht="12.75">
      <c r="A20" s="21"/>
      <c r="B20" s="21"/>
      <c r="C20" s="22">
        <v>542331</v>
      </c>
      <c r="D20" s="28">
        <v>580760</v>
      </c>
      <c r="E20" s="785" t="s">
        <v>47</v>
      </c>
      <c r="F20" s="217">
        <f>(F14-F17)</f>
        <v>48.551258000000004</v>
      </c>
      <c r="G20" s="217">
        <f>SUM(H20:Q20)</f>
        <v>5527.106793999999</v>
      </c>
      <c r="H20" s="217">
        <f aca="true" t="shared" si="3" ref="H20:Q20">(H14-H17)</f>
        <v>2749.3356719999997</v>
      </c>
      <c r="I20" s="217">
        <f t="shared" si="3"/>
        <v>1080.0534120000002</v>
      </c>
      <c r="J20" s="217">
        <f t="shared" si="3"/>
        <v>92.60183699999996</v>
      </c>
      <c r="K20" s="217">
        <f t="shared" si="3"/>
        <v>331.52775699999995</v>
      </c>
      <c r="L20" s="217">
        <f t="shared" si="3"/>
        <v>105.39372000000003</v>
      </c>
      <c r="M20" s="217">
        <f t="shared" si="3"/>
        <v>60.720563</v>
      </c>
      <c r="N20" s="217">
        <f t="shared" si="3"/>
        <v>18.230981</v>
      </c>
      <c r="O20" s="217">
        <f t="shared" si="3"/>
        <v>641.1719429999998</v>
      </c>
      <c r="P20" s="217">
        <f t="shared" si="3"/>
        <v>113.79744699999998</v>
      </c>
      <c r="Q20" s="217">
        <f t="shared" si="3"/>
        <v>334.27346200000005</v>
      </c>
      <c r="R20" s="219">
        <f>AI20/1000</f>
        <v>39.97054799999995</v>
      </c>
      <c r="S20" s="218">
        <f>SUM(T20:U20)</f>
        <v>2785.9225720000013</v>
      </c>
      <c r="T20" s="218">
        <f>AJ20/1000</f>
        <v>244.31663300000002</v>
      </c>
      <c r="U20" s="219">
        <f>AK20/1000</f>
        <v>2541.6059390000014</v>
      </c>
      <c r="V20" s="804">
        <f>SUM(F20,G20,R20,S20)</f>
        <v>8401.551172000001</v>
      </c>
      <c r="W20" s="21"/>
      <c r="X20" s="32"/>
      <c r="AI20" s="59">
        <f t="shared" si="2"/>
        <v>39970.54799999995</v>
      </c>
      <c r="AJ20" s="59">
        <f t="shared" si="2"/>
        <v>244316.63300000003</v>
      </c>
      <c r="AK20" s="49">
        <f t="shared" si="2"/>
        <v>2541605.939000001</v>
      </c>
    </row>
    <row r="21" spans="1:37" ht="12.75">
      <c r="A21" s="21"/>
      <c r="B21" s="21"/>
      <c r="C21" s="58">
        <v>38642</v>
      </c>
      <c r="D21" s="782">
        <v>46324</v>
      </c>
      <c r="E21" s="784" t="s">
        <v>11</v>
      </c>
      <c r="F21" s="214"/>
      <c r="G21" s="214"/>
      <c r="H21" s="215"/>
      <c r="I21" s="220"/>
      <c r="J21" s="220"/>
      <c r="K21" s="220"/>
      <c r="L21" s="220"/>
      <c r="M21" s="220"/>
      <c r="N21" s="215"/>
      <c r="O21" s="215"/>
      <c r="P21" s="215"/>
      <c r="Q21" s="215"/>
      <c r="R21" s="216"/>
      <c r="S21" s="215"/>
      <c r="T21" s="215"/>
      <c r="U21" s="216"/>
      <c r="V21" s="803"/>
      <c r="W21" s="21"/>
      <c r="X21" s="32"/>
      <c r="AI21" s="60"/>
      <c r="AJ21" s="61"/>
      <c r="AK21" s="16"/>
    </row>
    <row r="22" spans="1:37" ht="12.75">
      <c r="A22" s="21"/>
      <c r="B22" s="21"/>
      <c r="C22" s="22"/>
      <c r="D22" s="28"/>
      <c r="E22" s="220" t="s">
        <v>46</v>
      </c>
      <c r="F22" s="214">
        <f>10923.018/1000</f>
        <v>10.923018</v>
      </c>
      <c r="G22" s="214">
        <f>SUM(H22:Q22)</f>
        <v>947.4777049999999</v>
      </c>
      <c r="H22" s="215">
        <f>302231.969/1000</f>
        <v>302.231969</v>
      </c>
      <c r="I22" s="215">
        <f>182383.109/1000</f>
        <v>182.383109</v>
      </c>
      <c r="J22" s="215">
        <f>15863.047/1000</f>
        <v>15.863047</v>
      </c>
      <c r="K22" s="215">
        <f>9879/1000</f>
        <v>9.879</v>
      </c>
      <c r="L22" s="215">
        <f>4049.091/1000</f>
        <v>4.049091</v>
      </c>
      <c r="M22" s="215">
        <f>19835.745/1000</f>
        <v>19.835745</v>
      </c>
      <c r="N22" s="215">
        <f>8619.35/1000</f>
        <v>8.61935</v>
      </c>
      <c r="O22" s="215">
        <f>58953.276/1000</f>
        <v>58.953275999999995</v>
      </c>
      <c r="P22" s="215">
        <f>59852.954/1000</f>
        <v>59.852954</v>
      </c>
      <c r="Q22" s="215">
        <f>285810.164/1000</f>
        <v>285.810164</v>
      </c>
      <c r="R22" s="216">
        <f>AI22/1000</f>
        <v>140.755441</v>
      </c>
      <c r="S22" s="215">
        <f>SUM(T22:U22)</f>
        <v>1086.622577</v>
      </c>
      <c r="T22" s="215">
        <f>AJ22/1000</f>
        <v>90.685</v>
      </c>
      <c r="U22" s="216">
        <f>AK22/1000</f>
        <v>995.937577</v>
      </c>
      <c r="V22" s="801">
        <f>SUM(F22,G22,R22,S22)</f>
        <v>2185.778741</v>
      </c>
      <c r="W22" s="21"/>
      <c r="X22" s="32"/>
      <c r="AI22" s="50">
        <v>140755.441</v>
      </c>
      <c r="AJ22" s="50">
        <v>90685</v>
      </c>
      <c r="AK22" s="51">
        <v>995937.577</v>
      </c>
    </row>
    <row r="23" spans="1:37" ht="13.5" thickBot="1">
      <c r="A23" s="21"/>
      <c r="B23" s="21"/>
      <c r="C23" s="52">
        <v>1679080</v>
      </c>
      <c r="D23" s="64">
        <v>1852990</v>
      </c>
      <c r="E23" s="785" t="s">
        <v>47</v>
      </c>
      <c r="F23" s="217">
        <f>3574.353/1000</f>
        <v>3.574353</v>
      </c>
      <c r="G23" s="217">
        <f>SUM(H23:Q23)</f>
        <v>378.1869949999999</v>
      </c>
      <c r="H23" s="218">
        <f>173012.188/1000</f>
        <v>173.01218799999998</v>
      </c>
      <c r="I23" s="218">
        <f>43573.29/1000</f>
        <v>43.57329</v>
      </c>
      <c r="J23" s="218">
        <f>2996.416/1000</f>
        <v>2.996416</v>
      </c>
      <c r="K23" s="218">
        <f>14431.794/1000</f>
        <v>14.431794</v>
      </c>
      <c r="L23" s="218">
        <f>23778.581/1000</f>
        <v>23.778581</v>
      </c>
      <c r="M23" s="218">
        <f>12492.918/1000</f>
        <v>12.492918</v>
      </c>
      <c r="N23" s="218">
        <f>901.163/1000</f>
        <v>0.901163</v>
      </c>
      <c r="O23" s="218">
        <f>54172.711/1000</f>
        <v>54.172711</v>
      </c>
      <c r="P23" s="218">
        <f>5036.052/1000</f>
        <v>5.036052</v>
      </c>
      <c r="Q23" s="218">
        <f>47791.882/1000</f>
        <v>47.791882</v>
      </c>
      <c r="R23" s="219">
        <f>AI23/1000</f>
        <v>1153.374249</v>
      </c>
      <c r="S23" s="218">
        <f>SUM(T23:U23)</f>
        <v>396.850106</v>
      </c>
      <c r="T23" s="218">
        <f>AJ23/1000</f>
        <v>130.057802</v>
      </c>
      <c r="U23" s="219">
        <f>AK23/1000</f>
        <v>266.792304</v>
      </c>
      <c r="V23" s="804">
        <f>SUM(F23,G23,R23,S23)</f>
        <v>1931.9857029999998</v>
      </c>
      <c r="W23" s="21"/>
      <c r="X23" s="32"/>
      <c r="AI23" s="62">
        <v>1153374.249</v>
      </c>
      <c r="AJ23" s="62">
        <v>130057.802</v>
      </c>
      <c r="AK23" s="63">
        <v>266792.304</v>
      </c>
    </row>
    <row r="24" spans="1:26" ht="12.75">
      <c r="A24" s="21"/>
      <c r="B24" s="21"/>
      <c r="C24" s="22">
        <v>1644171</v>
      </c>
      <c r="D24" s="23">
        <v>1798371</v>
      </c>
      <c r="E24" s="70" t="s">
        <v>41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2"/>
      <c r="Z24" s="32"/>
    </row>
    <row r="25" spans="1:26" ht="12.75">
      <c r="A25" s="21"/>
      <c r="B25" s="21"/>
      <c r="C25" s="52">
        <v>40368</v>
      </c>
      <c r="D25" s="53">
        <v>47500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2"/>
      <c r="Z25" s="32"/>
    </row>
    <row r="26" spans="1:34" ht="13.5" customHeight="1">
      <c r="A26" s="21"/>
      <c r="B26" s="21"/>
      <c r="C26" s="24"/>
      <c r="D26" s="2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12.75">
      <c r="A27" s="21"/>
      <c r="B27" s="21"/>
      <c r="C27" s="52">
        <v>196556</v>
      </c>
      <c r="D27" s="53">
        <v>407327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5" ht="12.75">
      <c r="A28" s="21"/>
      <c r="B28" s="21"/>
      <c r="C28" s="28">
        <v>307866</v>
      </c>
      <c r="D28" s="28">
        <v>319734</v>
      </c>
      <c r="E28" s="21"/>
    </row>
    <row r="29" spans="1:5" ht="12.75">
      <c r="A29" s="21"/>
      <c r="B29" s="21"/>
      <c r="C29" s="64">
        <v>729</v>
      </c>
      <c r="D29" s="64">
        <v>912</v>
      </c>
      <c r="E29" s="21"/>
    </row>
    <row r="30" spans="1:5" ht="12.75">
      <c r="A30" s="21"/>
      <c r="B30" s="21"/>
      <c r="C30" s="28"/>
      <c r="D30" s="28"/>
      <c r="E30" s="21"/>
    </row>
    <row r="31" spans="1:5" ht="12.75">
      <c r="A31" s="21"/>
      <c r="B31" s="21"/>
      <c r="C31" s="64">
        <v>307421</v>
      </c>
      <c r="D31" s="64">
        <v>336180</v>
      </c>
      <c r="E31" s="21"/>
    </row>
    <row r="32" spans="1:5" ht="12.75">
      <c r="A32" s="21"/>
      <c r="B32" s="21"/>
      <c r="C32" s="28">
        <v>300260</v>
      </c>
      <c r="D32" s="28">
        <v>299834</v>
      </c>
      <c r="E32" s="21"/>
    </row>
    <row r="33" spans="1:5" ht="12.75">
      <c r="A33" s="21"/>
      <c r="B33" s="21"/>
      <c r="C33" s="64">
        <v>8335</v>
      </c>
      <c r="D33" s="64">
        <v>12697</v>
      </c>
      <c r="E33" s="21"/>
    </row>
    <row r="34" spans="1:5" ht="12.75">
      <c r="A34" s="21"/>
      <c r="B34" s="21"/>
      <c r="C34" s="28"/>
      <c r="D34" s="28"/>
      <c r="E34" s="21"/>
    </row>
    <row r="35" spans="1:5" ht="12.75">
      <c r="A35" s="21"/>
      <c r="B35" s="21"/>
      <c r="C35" s="64">
        <v>92755</v>
      </c>
      <c r="D35" s="64">
        <v>92662</v>
      </c>
      <c r="E35" s="21"/>
    </row>
    <row r="36" spans="1:5" ht="12.75">
      <c r="A36" s="21"/>
      <c r="B36" s="21"/>
      <c r="C36" s="28">
        <v>101169</v>
      </c>
      <c r="D36" s="28">
        <v>89507</v>
      </c>
      <c r="E36" s="21"/>
    </row>
    <row r="37" spans="1:5" ht="12.75">
      <c r="A37" s="21"/>
      <c r="B37" s="21"/>
      <c r="C37" s="64">
        <v>435</v>
      </c>
      <c r="D37" s="64">
        <v>506</v>
      </c>
      <c r="E37" s="21"/>
    </row>
    <row r="38" spans="1:5" ht="12.75">
      <c r="A38" s="21"/>
      <c r="B38" s="21"/>
      <c r="C38" s="28"/>
      <c r="D38" s="28"/>
      <c r="E38" s="21"/>
    </row>
    <row r="39" spans="1:5" ht="12.75">
      <c r="A39" s="21"/>
      <c r="B39" s="21"/>
      <c r="C39" s="64">
        <v>3105908</v>
      </c>
      <c r="D39" s="64">
        <v>3253752</v>
      </c>
      <c r="E39" s="21"/>
    </row>
    <row r="40" spans="1:5" ht="12.75">
      <c r="A40" s="21"/>
      <c r="B40" s="21"/>
      <c r="C40" s="28">
        <v>3686223</v>
      </c>
      <c r="D40" s="28">
        <v>3864903</v>
      </c>
      <c r="E40" s="21"/>
    </row>
    <row r="41" spans="1:5" ht="12.75">
      <c r="A41" s="21"/>
      <c r="B41" s="21"/>
      <c r="C41" s="64">
        <v>17073</v>
      </c>
      <c r="D41" s="64">
        <v>21827</v>
      </c>
      <c r="E41" s="21"/>
    </row>
    <row r="42" spans="1:5" ht="12.75">
      <c r="A42" s="21"/>
      <c r="B42" s="21"/>
      <c r="C42" s="28"/>
      <c r="D42" s="28"/>
      <c r="E42" s="21"/>
    </row>
    <row r="43" spans="1:5" ht="12.75">
      <c r="A43" s="21"/>
      <c r="B43" s="21"/>
      <c r="C43" s="64">
        <v>793338</v>
      </c>
      <c r="D43" s="64">
        <v>749015</v>
      </c>
      <c r="E43" s="21"/>
    </row>
    <row r="44" spans="1:5" ht="12.75">
      <c r="A44" s="21"/>
      <c r="B44" s="21"/>
      <c r="C44" s="28">
        <v>673629</v>
      </c>
      <c r="D44" s="28">
        <v>638478</v>
      </c>
      <c r="E44" s="21"/>
    </row>
    <row r="45" spans="1:5" ht="12.75">
      <c r="A45" s="21"/>
      <c r="B45" s="21"/>
      <c r="C45" s="64">
        <v>29599</v>
      </c>
      <c r="D45" s="64">
        <v>20869</v>
      </c>
      <c r="E45" s="21"/>
    </row>
    <row r="46" spans="1:5" ht="12.75">
      <c r="A46" s="21"/>
      <c r="B46" s="21"/>
      <c r="C46" s="28"/>
      <c r="D46" s="28"/>
      <c r="E46" s="21"/>
    </row>
    <row r="47" spans="1:5" ht="12.75">
      <c r="A47" s="21"/>
      <c r="B47" s="21"/>
      <c r="C47" s="64">
        <v>1337468</v>
      </c>
      <c r="D47" s="64">
        <v>1341588</v>
      </c>
      <c r="E47" s="21"/>
    </row>
    <row r="48" spans="1:5" ht="12.75">
      <c r="A48" s="21"/>
      <c r="B48" s="21"/>
      <c r="C48" s="28">
        <v>1279303</v>
      </c>
      <c r="D48" s="28">
        <v>1411354</v>
      </c>
      <c r="E48" s="21"/>
    </row>
    <row r="49" spans="1:5" ht="12.75">
      <c r="A49" s="21"/>
      <c r="B49" s="21"/>
      <c r="C49" s="64">
        <v>11600</v>
      </c>
      <c r="D49" s="64">
        <v>17136</v>
      </c>
      <c r="E49" s="21"/>
    </row>
    <row r="50" spans="1:5" ht="12.75">
      <c r="A50" s="21"/>
      <c r="B50" s="21"/>
      <c r="C50" s="28"/>
      <c r="D50" s="28"/>
      <c r="E50" s="21"/>
    </row>
    <row r="51" spans="1:5" ht="12.75">
      <c r="A51" s="21"/>
      <c r="B51" s="21"/>
      <c r="C51" s="64">
        <v>3063898</v>
      </c>
      <c r="D51" s="64">
        <v>3753457</v>
      </c>
      <c r="E51" s="21"/>
    </row>
    <row r="52" spans="1:5" ht="12.75">
      <c r="A52" s="21"/>
      <c r="B52" s="21"/>
      <c r="C52" s="28">
        <v>2600781</v>
      </c>
      <c r="D52" s="28">
        <v>2983773</v>
      </c>
      <c r="E52" s="21"/>
    </row>
    <row r="53" spans="1:5" ht="12.75">
      <c r="A53" s="21"/>
      <c r="B53" s="21"/>
      <c r="C53" s="64">
        <v>270887</v>
      </c>
      <c r="D53" s="64">
        <v>271191</v>
      </c>
      <c r="E53" s="21"/>
    </row>
    <row r="54" spans="1:5" ht="12.75">
      <c r="A54" s="21"/>
      <c r="B54" s="21"/>
      <c r="C54" s="28"/>
      <c r="D54" s="28"/>
      <c r="E54" s="21"/>
    </row>
    <row r="55" spans="1:5" ht="12.75">
      <c r="A55" s="21"/>
      <c r="B55" s="21"/>
      <c r="C55" s="64">
        <v>2114419</v>
      </c>
      <c r="D55" s="64">
        <v>2194477</v>
      </c>
      <c r="E55" s="21"/>
    </row>
    <row r="56" spans="1:5" ht="12.75">
      <c r="A56" s="21"/>
      <c r="B56" s="21"/>
      <c r="C56" s="28">
        <v>1868588</v>
      </c>
      <c r="D56" s="28">
        <v>1718618</v>
      </c>
      <c r="E56" s="21"/>
    </row>
    <row r="57" spans="1:5" ht="12.75">
      <c r="A57" s="21"/>
      <c r="B57" s="21"/>
      <c r="C57" s="64">
        <v>30902</v>
      </c>
      <c r="D57" s="64">
        <v>33220</v>
      </c>
      <c r="E57" s="21"/>
    </row>
    <row r="58" spans="1:5" ht="12.75">
      <c r="A58" s="21"/>
      <c r="B58" s="21"/>
      <c r="C58" s="28"/>
      <c r="D58" s="28"/>
      <c r="E58" s="21"/>
    </row>
    <row r="59" spans="1:5" ht="12.75">
      <c r="A59" s="21"/>
      <c r="B59" s="21"/>
      <c r="C59" s="65">
        <v>13147671.837</v>
      </c>
      <c r="D59" s="66">
        <v>14135997.294999998</v>
      </c>
      <c r="E59" s="21"/>
    </row>
    <row r="60" spans="1:5" ht="12.75">
      <c r="A60" s="21"/>
      <c r="B60" s="21"/>
      <c r="C60" s="29">
        <v>12322645.599</v>
      </c>
      <c r="D60" s="29">
        <v>13774083.483</v>
      </c>
      <c r="E60" s="21"/>
    </row>
    <row r="61" spans="1:5" ht="12.75">
      <c r="A61" s="21"/>
      <c r="B61" s="21"/>
      <c r="C61" s="66">
        <v>196004.761</v>
      </c>
      <c r="D61" s="66">
        <v>230937.262</v>
      </c>
      <c r="E61" s="21"/>
    </row>
    <row r="62" spans="1:5" ht="12.75">
      <c r="A62" s="21"/>
      <c r="B62" s="21"/>
      <c r="C62" s="21"/>
      <c r="D62" s="21"/>
      <c r="E62" s="21"/>
    </row>
    <row r="63" spans="1:5" ht="12.75">
      <c r="A63" s="21"/>
      <c r="B63" s="21"/>
      <c r="C63" s="21"/>
      <c r="D63" s="21"/>
      <c r="E63" s="21"/>
    </row>
    <row r="64" spans="1:5" ht="12.75">
      <c r="A64" s="21"/>
      <c r="B64" s="21"/>
      <c r="C64" s="21"/>
      <c r="D64" s="21"/>
      <c r="E64" s="21"/>
    </row>
    <row r="65" spans="1:5" ht="12.75">
      <c r="A65" s="21"/>
      <c r="B65" s="21"/>
      <c r="C65" s="21"/>
      <c r="D65" s="21"/>
      <c r="E65" s="21"/>
    </row>
    <row r="66" spans="1:5" ht="12.75">
      <c r="A66" s="21"/>
      <c r="B66" s="21"/>
      <c r="C66" s="21"/>
      <c r="D66" s="21"/>
      <c r="E66" s="21"/>
    </row>
    <row r="67" spans="1:5" ht="12.75">
      <c r="A67" s="21"/>
      <c r="B67" s="21"/>
      <c r="C67" s="21"/>
      <c r="D67" s="21"/>
      <c r="E67" s="21"/>
    </row>
    <row r="68" spans="1:5" ht="12.75">
      <c r="A68" s="21"/>
      <c r="B68" s="21"/>
      <c r="C68" s="21"/>
      <c r="D68" s="21"/>
      <c r="E68" s="21"/>
    </row>
    <row r="69" spans="1:5" ht="12.75">
      <c r="A69" s="21"/>
      <c r="B69" s="21"/>
      <c r="C69" s="21"/>
      <c r="D69" s="21"/>
      <c r="E69" s="21"/>
    </row>
    <row r="70" spans="1:5" ht="12.75">
      <c r="A70" s="21"/>
      <c r="B70" s="21"/>
      <c r="C70" s="21"/>
      <c r="D70" s="21"/>
      <c r="E70" s="21"/>
    </row>
    <row r="71" spans="1:5" ht="12.75">
      <c r="A71" s="21"/>
      <c r="B71" s="21"/>
      <c r="C71" s="21"/>
      <c r="D71" s="21"/>
      <c r="E71" s="21"/>
    </row>
    <row r="72" spans="1:5" ht="12.75">
      <c r="A72" s="21"/>
      <c r="B72" s="21"/>
      <c r="C72" s="21"/>
      <c r="D72" s="21"/>
      <c r="E72" s="21"/>
    </row>
    <row r="73" spans="1:5" ht="12.75">
      <c r="A73" s="21"/>
      <c r="B73" s="21"/>
      <c r="C73" s="21"/>
      <c r="D73" s="21"/>
      <c r="E73" s="21"/>
    </row>
    <row r="74" spans="1:5" ht="12.75">
      <c r="A74" s="21"/>
      <c r="B74" s="21"/>
      <c r="C74" s="21"/>
      <c r="D74" s="21"/>
      <c r="E74" s="21"/>
    </row>
    <row r="75" spans="1:5" ht="12.75">
      <c r="A75" s="21"/>
      <c r="B75" s="21"/>
      <c r="C75" s="21"/>
      <c r="D75" s="21"/>
      <c r="E75" s="21"/>
    </row>
    <row r="76" spans="1:5" ht="12.75">
      <c r="A76" s="21"/>
      <c r="B76" s="21"/>
      <c r="C76" s="21"/>
      <c r="D76" s="21"/>
      <c r="E76" s="21"/>
    </row>
    <row r="77" spans="1:5" ht="12.75">
      <c r="A77" s="21"/>
      <c r="B77" s="21"/>
      <c r="C77" s="21"/>
      <c r="D77" s="21"/>
      <c r="E77" s="21"/>
    </row>
    <row r="78" spans="1:5" ht="12.75">
      <c r="A78" s="21"/>
      <c r="B78" s="21"/>
      <c r="C78" s="21"/>
      <c r="D78" s="21"/>
      <c r="E78" s="21"/>
    </row>
    <row r="79" spans="1:5" ht="12.75">
      <c r="A79" s="21"/>
      <c r="B79" s="21"/>
      <c r="C79" s="21"/>
      <c r="D79" s="21"/>
      <c r="E79" s="21"/>
    </row>
    <row r="80" spans="1:5" ht="12.75">
      <c r="A80" s="21"/>
      <c r="B80" s="21"/>
      <c r="C80" s="21"/>
      <c r="D80" s="21"/>
      <c r="E80" s="21"/>
    </row>
    <row r="81" spans="1:5" ht="12.75">
      <c r="A81" s="21"/>
      <c r="B81" s="21"/>
      <c r="C81" s="21"/>
      <c r="D81" s="21"/>
      <c r="E81" s="21"/>
    </row>
    <row r="82" spans="1:5" ht="12.75">
      <c r="A82" s="21"/>
      <c r="B82" s="21"/>
      <c r="C82" s="21"/>
      <c r="D82" s="21"/>
      <c r="E82" s="21"/>
    </row>
    <row r="83" spans="1:5" ht="12.75">
      <c r="A83" s="21"/>
      <c r="B83" s="21"/>
      <c r="C83" s="21"/>
      <c r="D83" s="21"/>
      <c r="E83" s="21"/>
    </row>
    <row r="84" spans="1:5" ht="12.75">
      <c r="A84" s="21"/>
      <c r="B84" s="21"/>
      <c r="C84" s="21"/>
      <c r="D84" s="21"/>
      <c r="E84" s="21"/>
    </row>
    <row r="85" spans="1:5" ht="12.75">
      <c r="A85" s="21"/>
      <c r="B85" s="21"/>
      <c r="C85" s="21"/>
      <c r="D85" s="21"/>
      <c r="E85" s="21"/>
    </row>
    <row r="86" spans="1:5" ht="12.75">
      <c r="A86" s="21"/>
      <c r="B86" s="21"/>
      <c r="C86" s="21"/>
      <c r="D86" s="21"/>
      <c r="E86" s="21"/>
    </row>
    <row r="87" spans="1:5" ht="12.75">
      <c r="A87" s="21"/>
      <c r="B87" s="21"/>
      <c r="C87" s="21"/>
      <c r="D87" s="21"/>
      <c r="E87" s="21"/>
    </row>
    <row r="88" spans="1:5" ht="12.75">
      <c r="A88" s="21"/>
      <c r="B88" s="21"/>
      <c r="C88" s="21"/>
      <c r="D88" s="21"/>
      <c r="E88" s="21"/>
    </row>
    <row r="89" spans="1:5" ht="12.75">
      <c r="A89" s="21"/>
      <c r="B89" s="21"/>
      <c r="C89" s="21"/>
      <c r="D89" s="21"/>
      <c r="E89" s="21"/>
    </row>
    <row r="90" spans="1:5" ht="12.75">
      <c r="A90" s="21"/>
      <c r="B90" s="21"/>
      <c r="C90" s="21"/>
      <c r="D90" s="21"/>
      <c r="E90" s="21"/>
    </row>
    <row r="91" spans="1:5" ht="12.75">
      <c r="A91" s="21"/>
      <c r="B91" s="21"/>
      <c r="C91" s="21"/>
      <c r="D91" s="21"/>
      <c r="E91" s="21"/>
    </row>
    <row r="92" spans="1:5" ht="12.75">
      <c r="A92" s="21"/>
      <c r="B92" s="21"/>
      <c r="C92" s="21"/>
      <c r="D92" s="21"/>
      <c r="E92" s="21"/>
    </row>
    <row r="93" spans="1:5" ht="12.75">
      <c r="A93" s="21"/>
      <c r="B93" s="21"/>
      <c r="C93" s="21"/>
      <c r="D93" s="21"/>
      <c r="E93" s="21"/>
    </row>
    <row r="94" spans="1:5" ht="12.75">
      <c r="A94" s="21"/>
      <c r="B94" s="21"/>
      <c r="C94" s="21"/>
      <c r="D94" s="21"/>
      <c r="E94" s="21"/>
    </row>
    <row r="95" spans="1:5" ht="12.75">
      <c r="A95" s="21"/>
      <c r="B95" s="21"/>
      <c r="C95" s="21"/>
      <c r="D95" s="21"/>
      <c r="E95" s="21"/>
    </row>
    <row r="96" spans="1:5" ht="12.75">
      <c r="A96" s="21"/>
      <c r="B96" s="21"/>
      <c r="C96" s="21"/>
      <c r="D96" s="21"/>
      <c r="E96" s="21"/>
    </row>
    <row r="97" spans="1:5" ht="12.75">
      <c r="A97" s="21"/>
      <c r="B97" s="21"/>
      <c r="C97" s="21"/>
      <c r="D97" s="21"/>
      <c r="E97" s="21"/>
    </row>
    <row r="98" spans="1:5" ht="12.75">
      <c r="A98" s="21"/>
      <c r="B98" s="21"/>
      <c r="C98" s="21"/>
      <c r="D98" s="21"/>
      <c r="E98" s="21"/>
    </row>
    <row r="99" spans="1:5" ht="12.75">
      <c r="A99" s="21"/>
      <c r="B99" s="21"/>
      <c r="C99" s="21"/>
      <c r="D99" s="21"/>
      <c r="E99" s="21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  <row r="107" spans="1:5" ht="12.75">
      <c r="A107" s="21"/>
      <c r="B107" s="21"/>
      <c r="C107" s="21"/>
      <c r="D107" s="21"/>
      <c r="E107" s="21"/>
    </row>
    <row r="108" spans="1:5" ht="12.75">
      <c r="A108" s="21"/>
      <c r="B108" s="21"/>
      <c r="C108" s="21"/>
      <c r="D108" s="21"/>
      <c r="E108" s="21"/>
    </row>
    <row r="109" spans="1:5" ht="12.75">
      <c r="A109" s="21"/>
      <c r="B109" s="21"/>
      <c r="C109" s="21"/>
      <c r="D109" s="21"/>
      <c r="E109" s="21"/>
    </row>
    <row r="110" spans="1:5" ht="12.75">
      <c r="A110" s="21"/>
      <c r="B110" s="21"/>
      <c r="C110" s="21"/>
      <c r="D110" s="21"/>
      <c r="E110" s="21"/>
    </row>
    <row r="111" spans="1:5" ht="12.75">
      <c r="A111" s="21"/>
      <c r="B111" s="21"/>
      <c r="C111" s="21"/>
      <c r="D111" s="21"/>
      <c r="E111" s="21"/>
    </row>
    <row r="112" spans="1:5" ht="12.75">
      <c r="A112" s="21"/>
      <c r="B112" s="21"/>
      <c r="C112" s="21"/>
      <c r="D112" s="21"/>
      <c r="E112" s="21"/>
    </row>
    <row r="113" spans="1:5" ht="12.75">
      <c r="A113" s="21"/>
      <c r="B113" s="21"/>
      <c r="C113" s="21"/>
      <c r="D113" s="21"/>
      <c r="E113" s="21"/>
    </row>
    <row r="114" spans="1:5" ht="12.75">
      <c r="A114" s="21"/>
      <c r="B114" s="21"/>
      <c r="C114" s="21"/>
      <c r="D114" s="21"/>
      <c r="E114" s="21"/>
    </row>
    <row r="115" spans="1:5" ht="12.75">
      <c r="A115" s="21"/>
      <c r="B115" s="21"/>
      <c r="C115" s="21"/>
      <c r="D115" s="21"/>
      <c r="E115" s="21"/>
    </row>
    <row r="116" spans="1:5" ht="12.75">
      <c r="A116" s="21"/>
      <c r="B116" s="21"/>
      <c r="C116" s="21"/>
      <c r="D116" s="21"/>
      <c r="E116" s="21"/>
    </row>
    <row r="117" spans="1:5" ht="12.75">
      <c r="A117" s="21"/>
      <c r="B117" s="21"/>
      <c r="C117" s="21"/>
      <c r="D117" s="21"/>
      <c r="E117" s="21"/>
    </row>
    <row r="118" spans="1:5" ht="12.75">
      <c r="A118" s="21"/>
      <c r="B118" s="21"/>
      <c r="C118" s="21"/>
      <c r="D118" s="21"/>
      <c r="E118" s="21"/>
    </row>
    <row r="119" spans="1:5" ht="12.75">
      <c r="A119" s="21"/>
      <c r="B119" s="21"/>
      <c r="C119" s="21"/>
      <c r="D119" s="21"/>
      <c r="E119" s="21"/>
    </row>
    <row r="120" spans="1:5" ht="12.75">
      <c r="A120" s="21"/>
      <c r="B120" s="21"/>
      <c r="C120" s="21"/>
      <c r="D120" s="21"/>
      <c r="E120" s="21"/>
    </row>
    <row r="121" spans="1:5" ht="12.75">
      <c r="A121" s="21"/>
      <c r="B121" s="21"/>
      <c r="C121" s="21"/>
      <c r="D121" s="21"/>
      <c r="E121" s="21"/>
    </row>
    <row r="122" spans="1:5" ht="12.75">
      <c r="A122" s="21"/>
      <c r="B122" s="21"/>
      <c r="C122" s="21"/>
      <c r="D122" s="21"/>
      <c r="E122" s="21"/>
    </row>
    <row r="123" spans="1:5" ht="12.75">
      <c r="A123" s="21"/>
      <c r="B123" s="21"/>
      <c r="C123" s="21"/>
      <c r="D123" s="21"/>
      <c r="E123" s="21"/>
    </row>
    <row r="124" spans="1:5" ht="12.75">
      <c r="A124" s="21"/>
      <c r="B124" s="21"/>
      <c r="C124" s="21"/>
      <c r="D124" s="21"/>
      <c r="E124" s="21"/>
    </row>
    <row r="125" spans="1:5" ht="12.75">
      <c r="A125" s="21"/>
      <c r="B125" s="21"/>
      <c r="C125" s="21"/>
      <c r="D125" s="21"/>
      <c r="E125" s="21"/>
    </row>
    <row r="126" spans="1:5" ht="12.75">
      <c r="A126" s="21"/>
      <c r="B126" s="21"/>
      <c r="C126" s="21"/>
      <c r="D126" s="21"/>
      <c r="E126" s="21"/>
    </row>
    <row r="127" spans="1:5" ht="12.75">
      <c r="A127" s="21"/>
      <c r="B127" s="21"/>
      <c r="C127" s="21"/>
      <c r="D127" s="21"/>
      <c r="E127" s="21"/>
    </row>
    <row r="128" spans="1:5" ht="12.75">
      <c r="A128" s="21"/>
      <c r="B128" s="21"/>
      <c r="C128" s="21"/>
      <c r="D128" s="21"/>
      <c r="E128" s="21"/>
    </row>
    <row r="129" spans="1:5" ht="12.75">
      <c r="A129" s="21"/>
      <c r="B129" s="21"/>
      <c r="C129" s="21"/>
      <c r="D129" s="21"/>
      <c r="E129" s="21"/>
    </row>
    <row r="130" spans="1:5" ht="12.75">
      <c r="A130" s="21"/>
      <c r="B130" s="21"/>
      <c r="C130" s="21"/>
      <c r="D130" s="21"/>
      <c r="E130" s="21"/>
    </row>
    <row r="131" spans="1:5" ht="12.75">
      <c r="A131" s="21"/>
      <c r="B131" s="21"/>
      <c r="C131" s="21"/>
      <c r="D131" s="21"/>
      <c r="E131" s="21"/>
    </row>
    <row r="132" spans="1:5" ht="12.75">
      <c r="A132" s="21"/>
      <c r="B132" s="21"/>
      <c r="C132" s="21"/>
      <c r="D132" s="21"/>
      <c r="E132" s="21"/>
    </row>
    <row r="133" spans="1:5" ht="12.75">
      <c r="A133" s="21"/>
      <c r="B133" s="21"/>
      <c r="C133" s="21"/>
      <c r="D133" s="21"/>
      <c r="E133" s="21"/>
    </row>
    <row r="134" spans="1:5" ht="12.75">
      <c r="A134" s="33"/>
      <c r="B134" s="33"/>
      <c r="C134" s="21"/>
      <c r="D134" s="21"/>
      <c r="E134" s="21"/>
    </row>
    <row r="135" spans="1:5" ht="12.75">
      <c r="A135" s="21"/>
      <c r="B135" s="21"/>
      <c r="C135" s="21"/>
      <c r="D135" s="21"/>
      <c r="E135" s="21"/>
    </row>
    <row r="136" spans="1:5" ht="12.75">
      <c r="A136" s="21"/>
      <c r="B136" s="21"/>
      <c r="C136" s="21"/>
      <c r="D136" s="21"/>
      <c r="E136" s="21"/>
    </row>
    <row r="137" spans="1:5" ht="12.75">
      <c r="A137" s="21"/>
      <c r="B137" s="21"/>
      <c r="C137" s="21"/>
      <c r="D137" s="21"/>
      <c r="E137" s="21"/>
    </row>
    <row r="138" spans="1:5" ht="12.75">
      <c r="A138" s="21"/>
      <c r="B138" s="21"/>
      <c r="C138" s="21"/>
      <c r="D138" s="21"/>
      <c r="E138" s="21"/>
    </row>
    <row r="139" spans="1:5" ht="12.75">
      <c r="A139" s="21"/>
      <c r="B139" s="21"/>
      <c r="C139" s="21"/>
      <c r="D139" s="21"/>
      <c r="E139" s="21"/>
    </row>
    <row r="140" spans="1:5" ht="12.75">
      <c r="A140" s="21"/>
      <c r="B140" s="21"/>
      <c r="C140" s="21"/>
      <c r="D140" s="21"/>
      <c r="E140" s="21"/>
    </row>
    <row r="141" spans="1:5" ht="12.75">
      <c r="A141" s="21"/>
      <c r="B141" s="21"/>
      <c r="C141" s="21"/>
      <c r="D141" s="21"/>
      <c r="E141" s="21"/>
    </row>
    <row r="142" spans="1:5" ht="12.75">
      <c r="A142" s="21"/>
      <c r="B142" s="21"/>
      <c r="C142" s="21"/>
      <c r="D142" s="21"/>
      <c r="E142" s="21"/>
    </row>
    <row r="143" spans="1:5" ht="12.75">
      <c r="A143" s="21"/>
      <c r="B143" s="21"/>
      <c r="C143" s="21"/>
      <c r="D143" s="21"/>
      <c r="E143" s="21"/>
    </row>
    <row r="144" spans="1:5" ht="12.75">
      <c r="A144" s="21"/>
      <c r="B144" s="21"/>
      <c r="C144" s="21"/>
      <c r="D144" s="21"/>
      <c r="E144" s="21"/>
    </row>
    <row r="145" spans="1:5" ht="12.75">
      <c r="A145" s="21"/>
      <c r="B145" s="21"/>
      <c r="C145" s="21"/>
      <c r="D145" s="21"/>
      <c r="E145" s="21"/>
    </row>
    <row r="146" spans="1:5" ht="12.75">
      <c r="A146" s="21"/>
      <c r="B146" s="21"/>
      <c r="C146" s="21"/>
      <c r="D146" s="21"/>
      <c r="E146" s="21"/>
    </row>
    <row r="147" spans="1:5" ht="12.75">
      <c r="A147" s="21"/>
      <c r="B147" s="21"/>
      <c r="C147" s="21"/>
      <c r="D147" s="21"/>
      <c r="E147" s="21"/>
    </row>
    <row r="148" spans="1:5" ht="12.75">
      <c r="A148" s="21"/>
      <c r="B148" s="21"/>
      <c r="C148" s="21"/>
      <c r="D148" s="21"/>
      <c r="E148" s="21"/>
    </row>
    <row r="149" spans="1:5" ht="12.75">
      <c r="A149" s="21"/>
      <c r="B149" s="21"/>
      <c r="C149" s="21"/>
      <c r="D149" s="21"/>
      <c r="E149" s="21"/>
    </row>
    <row r="150" spans="1:5" ht="12.75">
      <c r="A150" s="21"/>
      <c r="B150" s="21"/>
      <c r="C150" s="21"/>
      <c r="D150" s="21"/>
      <c r="E150" s="21"/>
    </row>
    <row r="151" spans="1:5" ht="12.75">
      <c r="A151" s="21"/>
      <c r="B151" s="21"/>
      <c r="C151" s="21"/>
      <c r="D151" s="21"/>
      <c r="E151" s="21"/>
    </row>
    <row r="152" spans="1:5" ht="12.75">
      <c r="A152" s="21"/>
      <c r="B152" s="21"/>
      <c r="C152" s="21"/>
      <c r="D152" s="21"/>
      <c r="E152" s="21"/>
    </row>
    <row r="153" spans="1:5" ht="12.75">
      <c r="A153" s="21"/>
      <c r="B153" s="21"/>
      <c r="C153" s="21"/>
      <c r="D153" s="21"/>
      <c r="E153" s="21"/>
    </row>
    <row r="154" spans="1:5" ht="12.75">
      <c r="A154" s="21"/>
      <c r="B154" s="21"/>
      <c r="C154" s="21"/>
      <c r="D154" s="21"/>
      <c r="E154" s="21"/>
    </row>
    <row r="155" spans="1:5" ht="12.75">
      <c r="A155" s="21"/>
      <c r="B155" s="21"/>
      <c r="C155" s="21"/>
      <c r="D155" s="21"/>
      <c r="E155" s="21"/>
    </row>
    <row r="156" spans="1:5" ht="12.75">
      <c r="A156" s="21"/>
      <c r="B156" s="21"/>
      <c r="C156" s="21"/>
      <c r="D156" s="21"/>
      <c r="E156" s="21"/>
    </row>
    <row r="157" spans="1:5" ht="12.75">
      <c r="A157" s="21"/>
      <c r="B157" s="21"/>
      <c r="C157" s="21"/>
      <c r="D157" s="21"/>
      <c r="E157" s="21"/>
    </row>
    <row r="158" spans="1:5" ht="12.75">
      <c r="A158" s="21"/>
      <c r="B158" s="21"/>
      <c r="C158" s="21"/>
      <c r="D158" s="21"/>
      <c r="E158" s="21"/>
    </row>
    <row r="159" spans="1:5" ht="12.75">
      <c r="A159" s="21"/>
      <c r="B159" s="21"/>
      <c r="C159" s="21"/>
      <c r="D159" s="21"/>
      <c r="E159" s="21"/>
    </row>
    <row r="160" spans="1:5" ht="12.75">
      <c r="A160" s="21"/>
      <c r="B160" s="21"/>
      <c r="C160" s="21"/>
      <c r="D160" s="21"/>
      <c r="E160" s="21"/>
    </row>
    <row r="161" spans="1:5" ht="12.75">
      <c r="A161" s="21"/>
      <c r="B161" s="21"/>
      <c r="C161" s="21"/>
      <c r="D161" s="21"/>
      <c r="E161" s="21"/>
    </row>
    <row r="162" spans="1:5" ht="12.75">
      <c r="A162" s="21"/>
      <c r="B162" s="21"/>
      <c r="C162" s="21"/>
      <c r="D162" s="21"/>
      <c r="E162" s="21"/>
    </row>
    <row r="163" spans="1:5" ht="12.75">
      <c r="A163" s="21"/>
      <c r="B163" s="21"/>
      <c r="C163" s="21"/>
      <c r="D163" s="21"/>
      <c r="E163" s="21"/>
    </row>
    <row r="164" spans="1:5" ht="12.75">
      <c r="A164" s="21"/>
      <c r="B164" s="21"/>
      <c r="C164" s="21"/>
      <c r="D164" s="21"/>
      <c r="E164" s="21"/>
    </row>
    <row r="165" spans="1:5" ht="12.75">
      <c r="A165" s="21"/>
      <c r="B165" s="21"/>
      <c r="C165" s="21"/>
      <c r="D165" s="21"/>
      <c r="E165" s="21"/>
    </row>
    <row r="166" spans="1:5" ht="12.75">
      <c r="A166" s="21"/>
      <c r="B166" s="21"/>
      <c r="C166" s="21"/>
      <c r="D166" s="21"/>
      <c r="E166" s="21"/>
    </row>
    <row r="167" spans="1:5" ht="12.75">
      <c r="A167" s="21"/>
      <c r="B167" s="21"/>
      <c r="C167" s="21"/>
      <c r="D167" s="21"/>
      <c r="E167" s="21"/>
    </row>
    <row r="168" spans="1:5" ht="12.75">
      <c r="A168" s="21"/>
      <c r="B168" s="21"/>
      <c r="C168" s="21"/>
      <c r="D168" s="21"/>
      <c r="E168" s="21"/>
    </row>
    <row r="169" spans="1:5" ht="12.75">
      <c r="A169" s="21"/>
      <c r="B169" s="21"/>
      <c r="C169" s="21"/>
      <c r="D169" s="21"/>
      <c r="E169" s="21"/>
    </row>
    <row r="170" spans="1:5" ht="12.75">
      <c r="A170" s="21"/>
      <c r="B170" s="21"/>
      <c r="C170" s="21"/>
      <c r="D170" s="21"/>
      <c r="E170" s="21"/>
    </row>
    <row r="171" spans="1:5" ht="12.75">
      <c r="A171" s="21"/>
      <c r="B171" s="21"/>
      <c r="C171" s="21"/>
      <c r="D171" s="21"/>
      <c r="E171" s="21"/>
    </row>
    <row r="172" spans="1:5" ht="12.75">
      <c r="A172" s="21"/>
      <c r="B172" s="21"/>
      <c r="C172" s="21"/>
      <c r="D172" s="21"/>
      <c r="E172" s="21"/>
    </row>
    <row r="173" spans="1:5" ht="12.75">
      <c r="A173" s="21"/>
      <c r="B173" s="21"/>
      <c r="C173" s="21"/>
      <c r="D173" s="21"/>
      <c r="E173" s="21"/>
    </row>
    <row r="174" spans="1:5" ht="12.75">
      <c r="A174" s="21"/>
      <c r="B174" s="21"/>
      <c r="C174" s="21"/>
      <c r="D174" s="21"/>
      <c r="E174" s="21"/>
    </row>
    <row r="175" spans="1:5" ht="12.75">
      <c r="A175" s="21"/>
      <c r="B175" s="21"/>
      <c r="C175" s="21"/>
      <c r="D175" s="21"/>
      <c r="E175" s="21"/>
    </row>
    <row r="176" spans="1:5" ht="12.75">
      <c r="A176" s="21"/>
      <c r="B176" s="21"/>
      <c r="C176" s="21"/>
      <c r="D176" s="21"/>
      <c r="E176" s="21"/>
    </row>
    <row r="177" spans="1:5" ht="12.75">
      <c r="A177" s="21"/>
      <c r="B177" s="21"/>
      <c r="C177" s="21"/>
      <c r="D177" s="21"/>
      <c r="E177" s="21"/>
    </row>
    <row r="178" spans="1:5" ht="12.75">
      <c r="A178" s="21"/>
      <c r="B178" s="21"/>
      <c r="C178" s="21"/>
      <c r="D178" s="21"/>
      <c r="E178" s="21"/>
    </row>
    <row r="179" spans="1:5" ht="12.75">
      <c r="A179" s="21"/>
      <c r="B179" s="21"/>
      <c r="C179" s="21"/>
      <c r="D179" s="21"/>
      <c r="E179" s="21"/>
    </row>
    <row r="180" spans="1:5" ht="12.75">
      <c r="A180" s="21"/>
      <c r="B180" s="21"/>
      <c r="C180" s="21"/>
      <c r="D180" s="21"/>
      <c r="E180" s="21"/>
    </row>
    <row r="181" spans="1:5" ht="12.75">
      <c r="A181" s="21"/>
      <c r="B181" s="21"/>
      <c r="C181" s="21"/>
      <c r="D181" s="21"/>
      <c r="E181" s="21"/>
    </row>
    <row r="182" spans="1:5" ht="12.75">
      <c r="A182" s="21"/>
      <c r="B182" s="21"/>
      <c r="C182" s="21"/>
      <c r="D182" s="21"/>
      <c r="E182" s="21"/>
    </row>
    <row r="183" spans="1:5" ht="12.75">
      <c r="A183" s="21"/>
      <c r="B183" s="21"/>
      <c r="C183" s="21"/>
      <c r="D183" s="21"/>
      <c r="E183" s="21"/>
    </row>
    <row r="184" spans="1:5" ht="12.75">
      <c r="A184" s="21"/>
      <c r="B184" s="21"/>
      <c r="C184" s="21"/>
      <c r="D184" s="21"/>
      <c r="E184" s="21"/>
    </row>
    <row r="185" spans="1:5" ht="12.75">
      <c r="A185" s="21"/>
      <c r="B185" s="21"/>
      <c r="C185" s="21"/>
      <c r="D185" s="21"/>
      <c r="E185" s="21"/>
    </row>
    <row r="186" spans="1:5" ht="12.75">
      <c r="A186" s="21"/>
      <c r="B186" s="21"/>
      <c r="C186" s="21"/>
      <c r="D186" s="21"/>
      <c r="E186" s="21"/>
    </row>
    <row r="187" spans="1:5" ht="12.75">
      <c r="A187" s="21"/>
      <c r="B187" s="21"/>
      <c r="C187" s="21"/>
      <c r="D187" s="21"/>
      <c r="E187" s="21"/>
    </row>
    <row r="188" spans="1:5" ht="12.75">
      <c r="A188" s="21"/>
      <c r="B188" s="21"/>
      <c r="C188" s="21"/>
      <c r="D188" s="21"/>
      <c r="E188" s="21"/>
    </row>
    <row r="189" spans="1:5" ht="12.75">
      <c r="A189" s="21"/>
      <c r="B189" s="21"/>
      <c r="C189" s="21"/>
      <c r="D189" s="21"/>
      <c r="E189" s="21"/>
    </row>
    <row r="190" spans="1:5" ht="12.75">
      <c r="A190" s="21"/>
      <c r="B190" s="21"/>
      <c r="C190" s="21"/>
      <c r="D190" s="21"/>
      <c r="E190" s="21"/>
    </row>
    <row r="191" spans="1:5" ht="12.75">
      <c r="A191" s="21"/>
      <c r="B191" s="21"/>
      <c r="C191" s="21"/>
      <c r="D191" s="21"/>
      <c r="E191" s="21"/>
    </row>
    <row r="192" spans="1:5" ht="12.75">
      <c r="A192" s="21"/>
      <c r="B192" s="21"/>
      <c r="C192" s="21"/>
      <c r="D192" s="21"/>
      <c r="E192" s="21"/>
    </row>
    <row r="193" spans="1:5" ht="12.75">
      <c r="A193" s="21"/>
      <c r="B193" s="21"/>
      <c r="C193" s="21"/>
      <c r="D193" s="21"/>
      <c r="E193" s="21"/>
    </row>
    <row r="194" spans="1:5" ht="12.75">
      <c r="A194" s="21"/>
      <c r="B194" s="21"/>
      <c r="C194" s="21"/>
      <c r="D194" s="21"/>
      <c r="E194" s="21"/>
    </row>
    <row r="195" spans="1:5" ht="12.75">
      <c r="A195" s="21"/>
      <c r="B195" s="21"/>
      <c r="C195" s="21"/>
      <c r="D195" s="21"/>
      <c r="E195" s="21"/>
    </row>
    <row r="196" spans="1:5" ht="12.75">
      <c r="A196" s="21"/>
      <c r="B196" s="21"/>
      <c r="C196" s="21"/>
      <c r="D196" s="21"/>
      <c r="E196" s="21"/>
    </row>
    <row r="197" spans="1:5" ht="12.75">
      <c r="A197" s="21"/>
      <c r="B197" s="21"/>
      <c r="C197" s="21"/>
      <c r="D197" s="21"/>
      <c r="E197" s="21"/>
    </row>
    <row r="198" spans="1:5" ht="12.75">
      <c r="A198" s="21"/>
      <c r="B198" s="21"/>
      <c r="C198" s="21"/>
      <c r="D198" s="21"/>
      <c r="E198" s="21"/>
    </row>
    <row r="199" spans="1:5" ht="12.75">
      <c r="A199" s="21"/>
      <c r="B199" s="21"/>
      <c r="C199" s="21"/>
      <c r="D199" s="21"/>
      <c r="E199" s="21"/>
    </row>
    <row r="200" spans="1:5" ht="12.75">
      <c r="A200" s="21"/>
      <c r="B200" s="21"/>
      <c r="C200" s="21"/>
      <c r="D200" s="21"/>
      <c r="E200" s="21"/>
    </row>
    <row r="201" spans="1:5" ht="12.75">
      <c r="A201" s="21"/>
      <c r="B201" s="21"/>
      <c r="C201" s="21"/>
      <c r="D201" s="21"/>
      <c r="E201" s="21"/>
    </row>
    <row r="202" spans="1:5" ht="12.75">
      <c r="A202" s="21"/>
      <c r="B202" s="21"/>
      <c r="C202" s="21"/>
      <c r="D202" s="21"/>
      <c r="E202" s="21"/>
    </row>
    <row r="203" spans="1:5" ht="12.75">
      <c r="A203" s="21"/>
      <c r="B203" s="21"/>
      <c r="C203" s="21"/>
      <c r="D203" s="21"/>
      <c r="E203" s="21"/>
    </row>
    <row r="204" spans="1:5" ht="12.75">
      <c r="A204" s="21"/>
      <c r="B204" s="21"/>
      <c r="C204" s="21"/>
      <c r="D204" s="21"/>
      <c r="E204" s="21"/>
    </row>
    <row r="205" spans="1:5" ht="12.75">
      <c r="A205" s="21"/>
      <c r="B205" s="21"/>
      <c r="C205" s="21"/>
      <c r="D205" s="21"/>
      <c r="E205" s="21"/>
    </row>
    <row r="206" spans="1:5" ht="12.75">
      <c r="A206" s="21"/>
      <c r="B206" s="21"/>
      <c r="C206" s="21"/>
      <c r="D206" s="21"/>
      <c r="E206" s="21"/>
    </row>
    <row r="207" spans="1:5" ht="12.75">
      <c r="A207" s="21"/>
      <c r="B207" s="21"/>
      <c r="C207" s="21"/>
      <c r="D207" s="21"/>
      <c r="E207" s="21"/>
    </row>
    <row r="208" spans="1:5" ht="12.75">
      <c r="A208" s="21"/>
      <c r="B208" s="21"/>
      <c r="C208" s="21"/>
      <c r="D208" s="21"/>
      <c r="E208" s="21"/>
    </row>
    <row r="209" spans="1:5" ht="12.75">
      <c r="A209" s="21"/>
      <c r="B209" s="21"/>
      <c r="C209" s="21"/>
      <c r="D209" s="21"/>
      <c r="E209" s="21"/>
    </row>
    <row r="210" spans="1:5" ht="12.75">
      <c r="A210" s="21"/>
      <c r="B210" s="21"/>
      <c r="C210" s="21"/>
      <c r="D210" s="21"/>
      <c r="E210" s="21"/>
    </row>
    <row r="211" spans="1:5" ht="12.75">
      <c r="A211" s="21"/>
      <c r="B211" s="21"/>
      <c r="C211" s="21"/>
      <c r="D211" s="21"/>
      <c r="E211" s="21"/>
    </row>
    <row r="212" spans="1:5" ht="12.75">
      <c r="A212" s="21"/>
      <c r="B212" s="21"/>
      <c r="C212" s="21"/>
      <c r="D212" s="21"/>
      <c r="E212" s="21"/>
    </row>
    <row r="213" spans="1:5" ht="12.75">
      <c r="A213" s="21"/>
      <c r="B213" s="21"/>
      <c r="C213" s="21"/>
      <c r="D213" s="21"/>
      <c r="E213" s="21"/>
    </row>
    <row r="214" spans="1:5" ht="12.75">
      <c r="A214" s="21"/>
      <c r="B214" s="21"/>
      <c r="C214" s="21"/>
      <c r="D214" s="21"/>
      <c r="E214" s="21"/>
    </row>
    <row r="215" spans="1:5" ht="12.75">
      <c r="A215" s="21"/>
      <c r="B215" s="21"/>
      <c r="C215" s="21"/>
      <c r="D215" s="21"/>
      <c r="E215" s="21"/>
    </row>
    <row r="216" spans="1:5" ht="12.75">
      <c r="A216" s="21"/>
      <c r="B216" s="21"/>
      <c r="C216" s="21"/>
      <c r="D216" s="21"/>
      <c r="E216" s="21"/>
    </row>
    <row r="217" spans="1:5" ht="12.75">
      <c r="A217" s="21"/>
      <c r="B217" s="21"/>
      <c r="C217" s="21"/>
      <c r="D217" s="21"/>
      <c r="E217" s="21"/>
    </row>
    <row r="218" spans="1:5" ht="12.75">
      <c r="A218" s="21"/>
      <c r="B218" s="21"/>
      <c r="C218" s="21"/>
      <c r="D218" s="21"/>
      <c r="E218" s="21"/>
    </row>
    <row r="219" spans="1:5" ht="12.75">
      <c r="A219" s="21"/>
      <c r="B219" s="21"/>
      <c r="C219" s="21"/>
      <c r="D219" s="21"/>
      <c r="E219" s="21"/>
    </row>
    <row r="220" spans="1:5" ht="12.75">
      <c r="A220" s="21"/>
      <c r="B220" s="21"/>
      <c r="C220" s="21"/>
      <c r="D220" s="21"/>
      <c r="E220" s="21"/>
    </row>
    <row r="221" spans="1:5" ht="12.75">
      <c r="A221" s="21"/>
      <c r="B221" s="21"/>
      <c r="C221" s="21"/>
      <c r="D221" s="21"/>
      <c r="E221" s="21"/>
    </row>
    <row r="222" spans="1:5" ht="12.75">
      <c r="A222" s="21"/>
      <c r="B222" s="21"/>
      <c r="C222" s="21"/>
      <c r="D222" s="21"/>
      <c r="E222" s="21"/>
    </row>
    <row r="223" spans="1:5" ht="12.75">
      <c r="A223" s="21"/>
      <c r="B223" s="21"/>
      <c r="C223" s="21"/>
      <c r="D223" s="21"/>
      <c r="E223" s="21"/>
    </row>
    <row r="224" spans="1:5" ht="12.75">
      <c r="A224" s="21"/>
      <c r="B224" s="21"/>
      <c r="C224" s="21"/>
      <c r="D224" s="21"/>
      <c r="E224" s="21"/>
    </row>
    <row r="225" spans="1:5" ht="12.75">
      <c r="A225" s="21"/>
      <c r="B225" s="21"/>
      <c r="C225" s="21"/>
      <c r="D225" s="21"/>
      <c r="E225" s="21"/>
    </row>
    <row r="226" spans="1:5" ht="12.75">
      <c r="A226" s="21"/>
      <c r="B226" s="21"/>
      <c r="C226" s="21"/>
      <c r="D226" s="21"/>
      <c r="E226" s="21"/>
    </row>
    <row r="227" spans="1:5" ht="12.75">
      <c r="A227" s="21"/>
      <c r="B227" s="21"/>
      <c r="C227" s="21"/>
      <c r="D227" s="21"/>
      <c r="E227" s="21"/>
    </row>
    <row r="228" spans="1:5" ht="12.75">
      <c r="A228" s="21"/>
      <c r="B228" s="21"/>
      <c r="C228" s="21"/>
      <c r="D228" s="21"/>
      <c r="E228" s="21"/>
    </row>
    <row r="229" spans="1:5" ht="12.75">
      <c r="A229" s="21"/>
      <c r="B229" s="21"/>
      <c r="C229" s="21"/>
      <c r="D229" s="21"/>
      <c r="E229" s="21"/>
    </row>
    <row r="230" spans="1:5" ht="12.75">
      <c r="A230" s="21"/>
      <c r="B230" s="21"/>
      <c r="C230" s="21"/>
      <c r="D230" s="21"/>
      <c r="E230" s="21"/>
    </row>
    <row r="231" spans="1:5" ht="12.75">
      <c r="A231" s="21"/>
      <c r="B231" s="21"/>
      <c r="C231" s="21"/>
      <c r="D231" s="21"/>
      <c r="E231" s="21"/>
    </row>
    <row r="232" spans="1:5" ht="12.75">
      <c r="A232" s="21"/>
      <c r="B232" s="21"/>
      <c r="C232" s="21"/>
      <c r="D232" s="21"/>
      <c r="E232" s="21"/>
    </row>
    <row r="233" spans="1:5" ht="12.75">
      <c r="A233" s="21"/>
      <c r="B233" s="21"/>
      <c r="C233" s="21"/>
      <c r="D233" s="21"/>
      <c r="E233" s="21"/>
    </row>
    <row r="234" spans="1:5" ht="12.75">
      <c r="A234" s="21"/>
      <c r="B234" s="21"/>
      <c r="C234" s="21"/>
      <c r="D234" s="21"/>
      <c r="E234" s="21"/>
    </row>
    <row r="235" spans="1:5" ht="12.75">
      <c r="A235" s="21"/>
      <c r="B235" s="21"/>
      <c r="C235" s="21"/>
      <c r="D235" s="21"/>
      <c r="E235" s="21"/>
    </row>
    <row r="236" spans="1:5" ht="12.75">
      <c r="A236" s="21"/>
      <c r="B236" s="21"/>
      <c r="C236" s="21"/>
      <c r="D236" s="21"/>
      <c r="E236" s="21"/>
    </row>
    <row r="237" spans="1:5" ht="12.75">
      <c r="A237" s="21"/>
      <c r="B237" s="21"/>
      <c r="C237" s="21"/>
      <c r="D237" s="21"/>
      <c r="E237" s="21"/>
    </row>
    <row r="238" spans="1:5" ht="12.75">
      <c r="A238" s="21"/>
      <c r="B238" s="21"/>
      <c r="C238" s="21"/>
      <c r="D238" s="21"/>
      <c r="E238" s="21"/>
    </row>
    <row r="239" spans="1:5" ht="12.75">
      <c r="A239" s="21"/>
      <c r="B239" s="21"/>
      <c r="C239" s="21"/>
      <c r="D239" s="21"/>
      <c r="E239" s="21"/>
    </row>
    <row r="240" spans="1:5" ht="12.75">
      <c r="A240" s="21"/>
      <c r="B240" s="21"/>
      <c r="C240" s="21"/>
      <c r="D240" s="21"/>
      <c r="E240" s="21"/>
    </row>
    <row r="241" spans="1:5" ht="12.75">
      <c r="A241" s="21"/>
      <c r="B241" s="21"/>
      <c r="C241" s="21"/>
      <c r="D241" s="21"/>
      <c r="E241" s="21"/>
    </row>
  </sheetData>
  <printOptions horizontalCentered="1" verticalCentered="1"/>
  <pageMargins left="0.1968503937007874" right="0.2362204724409449" top="0" bottom="0" header="0" footer="0"/>
  <pageSetup fitToHeight="1" fitToWidth="1" horizontalDpi="600" verticalDpi="600" orientation="landscape" paperSize="9" r:id="rId1"/>
  <headerFooter alignWithMargins="0">
    <oddFooter>&amp;R33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workbookViewId="0" topLeftCell="A14">
      <selection activeCell="B71" sqref="B71"/>
    </sheetView>
  </sheetViews>
  <sheetFormatPr defaultColWidth="9.140625" defaultRowHeight="12.75"/>
  <cols>
    <col min="1" max="1" width="4.7109375" style="0" customWidth="1"/>
    <col min="2" max="2" width="27.140625" style="0" customWidth="1"/>
    <col min="3" max="3" width="15.7109375" style="0" customWidth="1"/>
    <col min="5" max="5" width="15.7109375" style="0" hidden="1" customWidth="1"/>
    <col min="6" max="6" width="9.7109375" style="0" hidden="1" customWidth="1"/>
    <col min="7" max="7" width="10.421875" style="0" customWidth="1"/>
    <col min="8" max="8" width="6.140625" style="0" customWidth="1"/>
    <col min="9" max="9" width="8.57421875" style="0" customWidth="1"/>
    <col min="10" max="10" width="8.00390625" style="150" customWidth="1"/>
    <col min="11" max="11" width="5.57421875" style="0" customWidth="1"/>
    <col min="12" max="12" width="5.57421875" style="21" customWidth="1"/>
    <col min="14" max="14" width="0.13671875" style="0" customWidth="1"/>
    <col min="15" max="15" width="9.140625" style="0" hidden="1" customWidth="1"/>
    <col min="16" max="16" width="14.8515625" style="0" hidden="1" customWidth="1"/>
    <col min="17" max="19" width="17.00390625" style="0" customWidth="1"/>
    <col min="20" max="29" width="17.00390625" style="0" hidden="1" customWidth="1"/>
    <col min="30" max="31" width="17.00390625" style="0" customWidth="1"/>
    <col min="32" max="33" width="17.00390625" style="0" hidden="1" customWidth="1"/>
    <col min="34" max="34" width="17.00390625" style="0" customWidth="1"/>
    <col min="35" max="35" width="16.140625" style="0" customWidth="1"/>
    <col min="36" max="36" width="15.7109375" style="0" customWidth="1"/>
    <col min="37" max="37" width="10.28125" style="0" hidden="1" customWidth="1"/>
    <col min="38" max="38" width="0.13671875" style="0" hidden="1" customWidth="1"/>
  </cols>
  <sheetData>
    <row r="1" spans="1:16" ht="31.5" customHeight="1">
      <c r="A1" s="21"/>
      <c r="B1" s="19" t="s">
        <v>549</v>
      </c>
      <c r="C1" s="19"/>
      <c r="D1" s="19"/>
      <c r="E1" s="20"/>
      <c r="F1" s="20"/>
      <c r="G1" s="20"/>
      <c r="H1" s="20"/>
      <c r="I1" s="20"/>
      <c r="J1" s="183"/>
      <c r="K1" s="20"/>
      <c r="L1" s="20"/>
      <c r="M1" s="17"/>
      <c r="N1" s="17"/>
      <c r="O1" s="17"/>
      <c r="P1" s="16"/>
    </row>
    <row r="2" spans="1:16" ht="18.75" customHeight="1">
      <c r="A2" s="21"/>
      <c r="B2" s="19"/>
      <c r="C2" s="19"/>
      <c r="D2" s="19"/>
      <c r="E2" s="20"/>
      <c r="F2" s="20"/>
      <c r="G2" s="20"/>
      <c r="H2" s="20"/>
      <c r="I2" s="20"/>
      <c r="J2" s="102"/>
      <c r="K2" s="20"/>
      <c r="L2" s="20"/>
      <c r="M2" s="21"/>
      <c r="N2" s="21"/>
      <c r="O2" s="21"/>
      <c r="P2" s="18"/>
    </row>
    <row r="3" spans="1:16" ht="15">
      <c r="A3" s="21"/>
      <c r="B3" s="530"/>
      <c r="C3" s="815" t="s">
        <v>550</v>
      </c>
      <c r="D3" s="816"/>
      <c r="E3" s="816"/>
      <c r="F3" s="816"/>
      <c r="G3" s="816"/>
      <c r="H3" s="816"/>
      <c r="I3" s="817"/>
      <c r="J3" s="556" t="s">
        <v>43</v>
      </c>
      <c r="K3" s="531"/>
      <c r="L3" s="20"/>
      <c r="M3" s="21"/>
      <c r="N3" s="21"/>
      <c r="O3" s="21"/>
      <c r="P3" s="18"/>
    </row>
    <row r="4" spans="1:16" ht="15">
      <c r="A4" s="21"/>
      <c r="B4" s="570" t="s">
        <v>551</v>
      </c>
      <c r="C4" s="16"/>
      <c r="D4" s="21"/>
      <c r="E4" s="811">
        <v>1995</v>
      </c>
      <c r="F4" s="812"/>
      <c r="G4" s="16"/>
      <c r="H4" s="17"/>
      <c r="I4" s="31"/>
      <c r="J4" s="557" t="s">
        <v>405</v>
      </c>
      <c r="K4" s="533"/>
      <c r="L4" s="20"/>
      <c r="M4" s="21"/>
      <c r="N4" s="21"/>
      <c r="O4" s="21"/>
      <c r="P4" s="18"/>
    </row>
    <row r="5" spans="1:16" ht="15">
      <c r="A5" s="21"/>
      <c r="B5" s="570"/>
      <c r="C5" s="813" t="s">
        <v>342</v>
      </c>
      <c r="D5" s="814"/>
      <c r="E5" s="238"/>
      <c r="F5" s="34"/>
      <c r="G5" s="666">
        <v>1996</v>
      </c>
      <c r="H5" s="635"/>
      <c r="I5" s="535"/>
      <c r="J5" s="558" t="s">
        <v>406</v>
      </c>
      <c r="K5" s="534"/>
      <c r="L5" s="20"/>
      <c r="M5" s="21"/>
      <c r="N5" s="21"/>
      <c r="O5" s="21"/>
      <c r="P5" s="18"/>
    </row>
    <row r="6" spans="1:16" ht="19.5" customHeight="1">
      <c r="A6" s="21"/>
      <c r="B6" s="571" t="s">
        <v>341</v>
      </c>
      <c r="C6" s="575" t="s">
        <v>7</v>
      </c>
      <c r="D6" s="576" t="s">
        <v>560</v>
      </c>
      <c r="E6" s="577" t="s">
        <v>7</v>
      </c>
      <c r="F6" s="577" t="s">
        <v>44</v>
      </c>
      <c r="G6" s="578" t="s">
        <v>7</v>
      </c>
      <c r="H6" s="577"/>
      <c r="I6" s="576" t="s">
        <v>558</v>
      </c>
      <c r="J6" s="809" t="s">
        <v>44</v>
      </c>
      <c r="K6" s="810"/>
      <c r="L6" s="441"/>
      <c r="M6" s="21"/>
      <c r="N6" s="21"/>
      <c r="O6" s="21"/>
      <c r="P6" s="18"/>
    </row>
    <row r="7" spans="1:16" ht="19.5" customHeight="1">
      <c r="A7" s="21"/>
      <c r="B7" s="572"/>
      <c r="C7" s="579"/>
      <c r="D7" s="580" t="s">
        <v>559</v>
      </c>
      <c r="E7" s="581"/>
      <c r="F7" s="581"/>
      <c r="G7" s="582"/>
      <c r="H7" s="581"/>
      <c r="I7" s="580" t="s">
        <v>559</v>
      </c>
      <c r="J7" s="583"/>
      <c r="K7" s="584"/>
      <c r="L7" s="441"/>
      <c r="M7" s="21"/>
      <c r="N7" s="21"/>
      <c r="O7" s="21"/>
      <c r="P7" s="18"/>
    </row>
    <row r="8" spans="1:16" ht="12.75">
      <c r="A8" s="21"/>
      <c r="B8" s="543" t="s">
        <v>552</v>
      </c>
      <c r="C8" s="562"/>
      <c r="D8" s="446"/>
      <c r="E8" s="183"/>
      <c r="F8" s="447"/>
      <c r="G8" s="28"/>
      <c r="H8" s="183"/>
      <c r="I8" s="563"/>
      <c r="J8" s="68"/>
      <c r="K8" s="544"/>
      <c r="L8" s="20"/>
      <c r="M8" s="21"/>
      <c r="N8" s="21"/>
      <c r="O8" s="21"/>
      <c r="P8" s="18"/>
    </row>
    <row r="9" spans="1:19" ht="12.75">
      <c r="A9" s="21"/>
      <c r="B9" s="545" t="s">
        <v>46</v>
      </c>
      <c r="C9" s="564">
        <f>308056.816/1000</f>
        <v>308.05681599999997</v>
      </c>
      <c r="D9" s="442">
        <f>Q9*100</f>
        <v>1.1424907077001323</v>
      </c>
      <c r="E9" s="256">
        <f>O9/1000</f>
        <v>353.786</v>
      </c>
      <c r="F9" s="257">
        <f>E9/E68</f>
        <v>0.008452251914923334</v>
      </c>
      <c r="G9" s="264">
        <f>P9/1000</f>
        <v>353.879</v>
      </c>
      <c r="H9" s="256"/>
      <c r="I9" s="442">
        <f>R9*100</f>
        <v>0.8026324223233747</v>
      </c>
      <c r="J9" s="559">
        <f>S9*100</f>
        <v>2.3380949410189533</v>
      </c>
      <c r="K9" s="544"/>
      <c r="L9" s="20"/>
      <c r="N9" s="21"/>
      <c r="O9" s="22">
        <v>353786</v>
      </c>
      <c r="P9" s="23">
        <v>353879</v>
      </c>
      <c r="Q9" s="239">
        <v>0.011424907077001322</v>
      </c>
      <c r="R9" s="239">
        <v>0.008026324223233747</v>
      </c>
      <c r="S9" s="246">
        <v>0.023380949410189533</v>
      </c>
    </row>
    <row r="10" spans="1:19" ht="12.75">
      <c r="A10" s="21"/>
      <c r="B10" s="545" t="s">
        <v>47</v>
      </c>
      <c r="C10" s="564">
        <f>292398.729/1000</f>
        <v>292.398729</v>
      </c>
      <c r="D10" s="442">
        <f>Q10*100</f>
        <v>1.224807978112215</v>
      </c>
      <c r="E10" s="256">
        <f>O10/1000</f>
        <v>301.238</v>
      </c>
      <c r="F10" s="257">
        <f>E10/E69</f>
        <v>0.007362641380318637</v>
      </c>
      <c r="G10" s="264">
        <f>P10/1000</f>
        <v>375.14</v>
      </c>
      <c r="H10" s="256"/>
      <c r="I10" s="442">
        <f aca="true" t="shared" si="0" ref="I10:I69">R10*100</f>
        <v>0.8578801009442721</v>
      </c>
      <c r="J10" s="559">
        <f aca="true" t="shared" si="1" ref="J10:J68">S10*100</f>
        <v>4.240459136172103</v>
      </c>
      <c r="K10" s="544"/>
      <c r="L10" s="20"/>
      <c r="N10" s="21"/>
      <c r="O10" s="22">
        <v>301238</v>
      </c>
      <c r="P10" s="23">
        <v>375140</v>
      </c>
      <c r="Q10" s="240">
        <v>0.01224807978112215</v>
      </c>
      <c r="R10" s="240">
        <v>0.008578801009442721</v>
      </c>
      <c r="S10" s="246">
        <v>0.042404591361721033</v>
      </c>
    </row>
    <row r="11" spans="1:19" ht="12.75" hidden="1">
      <c r="A11" s="21"/>
      <c r="B11" s="543" t="s">
        <v>48</v>
      </c>
      <c r="C11" s="565"/>
      <c r="D11" s="442" t="e">
        <f>Q11*100</f>
        <v>#DIV/0!</v>
      </c>
      <c r="E11" s="256">
        <f>O11/1000</f>
        <v>6.092</v>
      </c>
      <c r="F11" s="257">
        <f>E11/E70</f>
        <v>0.007282867025077847</v>
      </c>
      <c r="G11" s="264">
        <f>P11/1000</f>
        <v>3.016</v>
      </c>
      <c r="H11" s="256"/>
      <c r="I11" s="442">
        <f t="shared" si="0"/>
        <v>0.3294319740133398</v>
      </c>
      <c r="J11" s="559">
        <f t="shared" si="1"/>
        <v>0</v>
      </c>
      <c r="K11" s="544"/>
      <c r="L11" s="20"/>
      <c r="N11" s="21"/>
      <c r="O11" s="22">
        <v>6092</v>
      </c>
      <c r="P11" s="23">
        <v>3016</v>
      </c>
      <c r="Q11" s="239" t="e">
        <v>#DIV/0!</v>
      </c>
      <c r="R11" s="239">
        <v>0.003294319740133398</v>
      </c>
      <c r="S11" s="246"/>
    </row>
    <row r="12" spans="1:19" ht="12.75">
      <c r="A12" s="21"/>
      <c r="B12" s="543" t="s">
        <v>553</v>
      </c>
      <c r="C12" s="562"/>
      <c r="D12" s="442"/>
      <c r="E12" s="256"/>
      <c r="F12" s="257"/>
      <c r="G12" s="264"/>
      <c r="H12" s="256"/>
      <c r="I12" s="442"/>
      <c r="J12" s="559"/>
      <c r="K12" s="544"/>
      <c r="L12" s="20"/>
      <c r="N12" s="21"/>
      <c r="O12" s="24"/>
      <c r="P12" s="25"/>
      <c r="Q12" s="241"/>
      <c r="R12" s="241"/>
      <c r="S12" s="247"/>
    </row>
    <row r="13" spans="1:19" ht="12.75">
      <c r="A13" s="21"/>
      <c r="B13" s="545" t="s">
        <v>46</v>
      </c>
      <c r="C13" s="564">
        <f>7420487.397/1000</f>
        <v>7420.487397</v>
      </c>
      <c r="D13" s="442">
        <f>Q13*100</f>
        <v>27.520371104784914</v>
      </c>
      <c r="E13" s="256">
        <f>O13/1000</f>
        <v>10449.73</v>
      </c>
      <c r="F13" s="257">
        <f>E13/E68</f>
        <v>0.24965303998160415</v>
      </c>
      <c r="G13" s="264">
        <f>P13/1000</f>
        <v>10621.18</v>
      </c>
      <c r="H13" s="256"/>
      <c r="I13" s="442">
        <f t="shared" si="0"/>
        <v>24.089882223394383</v>
      </c>
      <c r="J13" s="559">
        <f t="shared" si="1"/>
        <v>6.1589765267797025</v>
      </c>
      <c r="K13" s="544"/>
      <c r="L13" s="20"/>
      <c r="N13" s="21"/>
      <c r="O13" s="22">
        <v>10449730</v>
      </c>
      <c r="P13" s="23">
        <v>10621180</v>
      </c>
      <c r="Q13" s="239">
        <v>0.27520371104784913</v>
      </c>
      <c r="R13" s="239">
        <v>0.24089882223394382</v>
      </c>
      <c r="S13" s="246">
        <v>0.061589765267797025</v>
      </c>
    </row>
    <row r="14" spans="1:19" ht="12.75">
      <c r="A14" s="21"/>
      <c r="B14" s="545" t="s">
        <v>47</v>
      </c>
      <c r="C14" s="564">
        <f>7137768.032/1000</f>
        <v>7137.768032</v>
      </c>
      <c r="D14" s="442">
        <f>Q14*100</f>
        <v>29.898882465757655</v>
      </c>
      <c r="E14" s="256">
        <f>O14/1000</f>
        <v>10397.924</v>
      </c>
      <c r="F14" s="257">
        <f>E14/E69</f>
        <v>0.2541385399976374</v>
      </c>
      <c r="G14" s="264">
        <f>P14/1000</f>
        <v>11099.232</v>
      </c>
      <c r="H14" s="256"/>
      <c r="I14" s="442">
        <f t="shared" si="0"/>
        <v>25.38201809608119</v>
      </c>
      <c r="J14" s="559">
        <f t="shared" si="1"/>
        <v>7.635388632368101</v>
      </c>
      <c r="K14" s="544"/>
      <c r="L14" s="20"/>
      <c r="N14" s="21"/>
      <c r="O14" s="22">
        <v>10397924</v>
      </c>
      <c r="P14" s="23">
        <v>11099232</v>
      </c>
      <c r="Q14" s="239">
        <v>0.29898882465757654</v>
      </c>
      <c r="R14" s="239">
        <v>0.2538201809608119</v>
      </c>
      <c r="S14" s="248">
        <v>0.07635388632368101</v>
      </c>
    </row>
    <row r="15" spans="1:19" ht="12.75" hidden="1">
      <c r="A15" s="21"/>
      <c r="B15" s="543" t="s">
        <v>48</v>
      </c>
      <c r="C15" s="565"/>
      <c r="D15" s="443" t="e">
        <v>#DIV/0!</v>
      </c>
      <c r="E15" s="256">
        <f>O15/1000</f>
        <v>174.173</v>
      </c>
      <c r="F15" s="257">
        <f>E15/E70</f>
        <v>0.2082204199538549</v>
      </c>
      <c r="G15" s="264">
        <f>P15/1000</f>
        <v>199.115</v>
      </c>
      <c r="H15" s="256"/>
      <c r="I15" s="442">
        <f t="shared" si="0"/>
        <v>21.74895474325801</v>
      </c>
      <c r="J15" s="559">
        <f t="shared" si="1"/>
        <v>0</v>
      </c>
      <c r="K15" s="544"/>
      <c r="L15" s="20"/>
      <c r="N15" s="21"/>
      <c r="O15" s="26">
        <v>174173</v>
      </c>
      <c r="P15" s="27">
        <v>199115</v>
      </c>
      <c r="Q15" s="240" t="e">
        <v>#DIV/0!</v>
      </c>
      <c r="R15" s="240">
        <v>0.21748954743258012</v>
      </c>
      <c r="S15" s="246"/>
    </row>
    <row r="16" spans="1:19" ht="12.75">
      <c r="A16" s="21"/>
      <c r="B16" s="546" t="s">
        <v>554</v>
      </c>
      <c r="C16" s="562"/>
      <c r="D16" s="443"/>
      <c r="E16" s="256"/>
      <c r="F16" s="257"/>
      <c r="G16" s="264"/>
      <c r="H16" s="256"/>
      <c r="I16" s="442"/>
      <c r="J16" s="559">
        <f t="shared" si="1"/>
        <v>0</v>
      </c>
      <c r="K16" s="544"/>
      <c r="L16" s="20"/>
      <c r="N16" s="21"/>
      <c r="O16" s="22"/>
      <c r="P16" s="23"/>
      <c r="Q16" s="241"/>
      <c r="R16" s="241"/>
      <c r="S16" s="246"/>
    </row>
    <row r="17" spans="1:19" ht="12.75">
      <c r="A17" s="21"/>
      <c r="B17" s="545" t="s">
        <v>46</v>
      </c>
      <c r="C17" s="564">
        <f>3488149.055/1000</f>
        <v>3488.1490550000003</v>
      </c>
      <c r="D17" s="442">
        <f aca="true" t="shared" si="2" ref="D17:D46">Q17*100</f>
        <v>12.93650286384346</v>
      </c>
      <c r="E17" s="256">
        <f>O17/1000</f>
        <v>4636.072</v>
      </c>
      <c r="F17" s="257">
        <f>E17/E68</f>
        <v>0.1107597486608358</v>
      </c>
      <c r="G17" s="264">
        <f>P17/1000</f>
        <v>4661.774</v>
      </c>
      <c r="H17" s="256"/>
      <c r="I17" s="442">
        <f t="shared" si="0"/>
        <v>10.57336252771181</v>
      </c>
      <c r="J17" s="559">
        <f t="shared" si="1"/>
        <v>4.952477932455235</v>
      </c>
      <c r="K17" s="544"/>
      <c r="L17" s="20"/>
      <c r="N17" s="21"/>
      <c r="O17" s="22">
        <v>4636072</v>
      </c>
      <c r="P17" s="23">
        <v>4661774</v>
      </c>
      <c r="Q17" s="239">
        <v>0.1293650286384346</v>
      </c>
      <c r="R17" s="239">
        <v>0.1057336252771181</v>
      </c>
      <c r="S17" s="246">
        <v>0.04952477932455235</v>
      </c>
    </row>
    <row r="18" spans="1:19" ht="12.75">
      <c r="A18" s="21"/>
      <c r="B18" s="545" t="s">
        <v>47</v>
      </c>
      <c r="C18" s="564">
        <f>3285993.302/1000</f>
        <v>3285.9933020000003</v>
      </c>
      <c r="D18" s="442">
        <f t="shared" si="2"/>
        <v>13.764460694057604</v>
      </c>
      <c r="E18" s="256">
        <f>O18/1000</f>
        <v>4888.264</v>
      </c>
      <c r="F18" s="257">
        <f>E18/E69</f>
        <v>0.1194754141387272</v>
      </c>
      <c r="G18" s="264">
        <f>P18/1000</f>
        <v>4774.934</v>
      </c>
      <c r="H18" s="256"/>
      <c r="I18" s="442">
        <f t="shared" si="0"/>
        <v>10.919445705395953</v>
      </c>
      <c r="J18" s="559">
        <f t="shared" si="1"/>
        <v>6.426582484509802</v>
      </c>
      <c r="K18" s="544"/>
      <c r="L18" s="20"/>
      <c r="N18" s="21"/>
      <c r="O18" s="22">
        <v>4888264</v>
      </c>
      <c r="P18" s="23">
        <v>4774934</v>
      </c>
      <c r="Q18" s="240">
        <v>0.13764460694057604</v>
      </c>
      <c r="R18" s="240">
        <v>0.10919445705395953</v>
      </c>
      <c r="S18" s="248">
        <v>0.06426582484509802</v>
      </c>
    </row>
    <row r="19" spans="1:19" ht="12.75" hidden="1">
      <c r="A19" s="21"/>
      <c r="B19" s="543" t="s">
        <v>48</v>
      </c>
      <c r="C19" s="565"/>
      <c r="D19" s="442" t="e">
        <f t="shared" si="2"/>
        <v>#DIV/0!</v>
      </c>
      <c r="E19" s="256">
        <f>O19/1000</f>
        <v>11.644</v>
      </c>
      <c r="F19" s="257">
        <f>E19/E70</f>
        <v>0.013920174596192788</v>
      </c>
      <c r="G19" s="264">
        <f>P19/1000</f>
        <v>10.265</v>
      </c>
      <c r="H19" s="256"/>
      <c r="I19" s="442">
        <f t="shared" si="0"/>
        <v>1.1212265295911583</v>
      </c>
      <c r="J19" s="559">
        <f t="shared" si="1"/>
        <v>0</v>
      </c>
      <c r="K19" s="544"/>
      <c r="L19" s="20"/>
      <c r="N19" s="21"/>
      <c r="O19" s="22">
        <v>11644</v>
      </c>
      <c r="P19" s="23">
        <v>10265</v>
      </c>
      <c r="Q19" s="240" t="e">
        <v>#DIV/0!</v>
      </c>
      <c r="R19" s="240">
        <v>0.011212265295911582</v>
      </c>
      <c r="S19" s="246"/>
    </row>
    <row r="20" spans="1:19" ht="12.75" hidden="1">
      <c r="A20" s="21"/>
      <c r="B20" s="543" t="s">
        <v>529</v>
      </c>
      <c r="C20" s="562"/>
      <c r="D20" s="442">
        <f t="shared" si="2"/>
        <v>0</v>
      </c>
      <c r="E20" s="256"/>
      <c r="F20" s="257"/>
      <c r="G20" s="264"/>
      <c r="H20" s="256"/>
      <c r="I20" s="442">
        <f t="shared" si="0"/>
        <v>0</v>
      </c>
      <c r="J20" s="559">
        <f t="shared" si="1"/>
        <v>0</v>
      </c>
      <c r="K20" s="544"/>
      <c r="L20" s="20"/>
      <c r="N20" s="21"/>
      <c r="O20" s="24"/>
      <c r="P20" s="25"/>
      <c r="Q20" s="241"/>
      <c r="R20" s="241"/>
      <c r="S20" s="247"/>
    </row>
    <row r="21" spans="1:19" ht="12.75" hidden="1">
      <c r="A21" s="21"/>
      <c r="B21" s="543" t="s">
        <v>46</v>
      </c>
      <c r="C21" s="564">
        <f>353596.212/1000</f>
        <v>353.596212</v>
      </c>
      <c r="D21" s="442">
        <f t="shared" si="2"/>
        <v>1.311382723919233</v>
      </c>
      <c r="E21" s="256">
        <f>O21/1000</f>
        <v>578.908</v>
      </c>
      <c r="F21" s="257">
        <f>E21/E68</f>
        <v>0.013830610175542383</v>
      </c>
      <c r="G21" s="264">
        <f>P21/1000</f>
        <v>609.567</v>
      </c>
      <c r="H21" s="256"/>
      <c r="I21" s="442">
        <f t="shared" si="0"/>
        <v>1.38255798670843</v>
      </c>
      <c r="J21" s="559">
        <f t="shared" si="1"/>
        <v>9.501224059922087</v>
      </c>
      <c r="K21" s="544"/>
      <c r="L21" s="20"/>
      <c r="N21" s="21"/>
      <c r="O21" s="22">
        <v>578908</v>
      </c>
      <c r="P21" s="23">
        <v>609567</v>
      </c>
      <c r="Q21" s="239">
        <v>0.01311382723919233</v>
      </c>
      <c r="R21" s="239">
        <v>0.013825579867084301</v>
      </c>
      <c r="S21" s="246">
        <v>0.09501224059922087</v>
      </c>
    </row>
    <row r="22" spans="1:19" ht="12.75" hidden="1">
      <c r="A22" s="21"/>
      <c r="B22" s="543" t="s">
        <v>47</v>
      </c>
      <c r="C22" s="564">
        <f>343450.111/1000</f>
        <v>343.450111</v>
      </c>
      <c r="D22" s="442">
        <f t="shared" si="2"/>
        <v>1.4386534355842764</v>
      </c>
      <c r="E22" s="256">
        <f>O22/1000</f>
        <v>542.331</v>
      </c>
      <c r="F22" s="257">
        <f>E22/E69</f>
        <v>0.01325526215958673</v>
      </c>
      <c r="G22" s="264">
        <f>P22/1000</f>
        <v>580.76</v>
      </c>
      <c r="H22" s="256"/>
      <c r="I22" s="442">
        <f t="shared" si="0"/>
        <v>1.3280973701135457</v>
      </c>
      <c r="J22" s="559">
        <f t="shared" si="1"/>
        <v>9.149606055027014</v>
      </c>
      <c r="K22" s="544"/>
      <c r="L22" s="20"/>
      <c r="N22" s="21"/>
      <c r="O22" s="22">
        <v>542331</v>
      </c>
      <c r="P22" s="23">
        <v>580760</v>
      </c>
      <c r="Q22" s="239">
        <v>0.014386534355842764</v>
      </c>
      <c r="R22" s="239">
        <v>0.013280973701135457</v>
      </c>
      <c r="S22" s="246">
        <v>0.09149606055027015</v>
      </c>
    </row>
    <row r="23" spans="1:19" ht="12.75" hidden="1">
      <c r="A23" s="21"/>
      <c r="B23" s="543" t="s">
        <v>48</v>
      </c>
      <c r="C23" s="565"/>
      <c r="D23" s="442" t="e">
        <f t="shared" si="2"/>
        <v>#DIV/0!</v>
      </c>
      <c r="E23" s="256">
        <f>O23/1000</f>
        <v>38.642</v>
      </c>
      <c r="F23" s="257">
        <f>E23/E70</f>
        <v>0.046195756333397606</v>
      </c>
      <c r="G23" s="264">
        <f>P23/1000</f>
        <v>46.324</v>
      </c>
      <c r="H23" s="256"/>
      <c r="I23" s="442">
        <f t="shared" si="0"/>
        <v>5.059882879374653</v>
      </c>
      <c r="J23" s="559">
        <f t="shared" si="1"/>
        <v>0</v>
      </c>
      <c r="K23" s="544"/>
      <c r="L23" s="20"/>
      <c r="N23" s="21"/>
      <c r="O23" s="26">
        <v>38642</v>
      </c>
      <c r="P23" s="27">
        <v>46324</v>
      </c>
      <c r="Q23" s="240" t="e">
        <v>#DIV/0!</v>
      </c>
      <c r="R23" s="240">
        <v>0.05059882879374653</v>
      </c>
      <c r="S23" s="246"/>
    </row>
    <row r="24" spans="1:19" ht="12.75" hidden="1">
      <c r="A24" s="21"/>
      <c r="B24" s="543" t="s">
        <v>530</v>
      </c>
      <c r="C24" s="431"/>
      <c r="D24" s="442">
        <f t="shared" si="2"/>
        <v>0</v>
      </c>
      <c r="E24" s="256"/>
      <c r="F24" s="257"/>
      <c r="G24" s="264"/>
      <c r="H24" s="256"/>
      <c r="I24" s="442">
        <f t="shared" si="0"/>
        <v>0</v>
      </c>
      <c r="J24" s="559">
        <f t="shared" si="1"/>
        <v>0</v>
      </c>
      <c r="K24" s="544"/>
      <c r="L24" s="20"/>
      <c r="N24" s="21"/>
      <c r="O24" s="22"/>
      <c r="P24" s="23"/>
      <c r="Q24" s="241"/>
      <c r="R24" s="241"/>
      <c r="S24" s="247"/>
    </row>
    <row r="25" spans="1:19" ht="12.75" hidden="1">
      <c r="A25" s="21"/>
      <c r="B25" s="543" t="s">
        <v>46</v>
      </c>
      <c r="C25" s="564">
        <f>757148.079/1000</f>
        <v>757.148079</v>
      </c>
      <c r="D25" s="442">
        <f t="shared" si="2"/>
        <v>2.808036049462076</v>
      </c>
      <c r="E25" s="256">
        <f>O25/1000</f>
        <v>1679.08</v>
      </c>
      <c r="F25" s="257">
        <f>E25/E68</f>
        <v>0.0401146657734039</v>
      </c>
      <c r="G25" s="264">
        <f>P25/1000</f>
        <v>1851.579</v>
      </c>
      <c r="H25" s="256"/>
      <c r="I25" s="442">
        <f t="shared" si="0"/>
        <v>4.1995635171713825</v>
      </c>
      <c r="J25" s="559">
        <f t="shared" si="1"/>
        <v>16.071849240851698</v>
      </c>
      <c r="K25" s="544"/>
      <c r="L25" s="20"/>
      <c r="N25" s="21"/>
      <c r="O25" s="22">
        <v>1679080</v>
      </c>
      <c r="P25" s="23">
        <v>1851579</v>
      </c>
      <c r="Q25" s="239">
        <v>0.028080360494620763</v>
      </c>
      <c r="R25" s="239">
        <v>0.04199563517171383</v>
      </c>
      <c r="S25" s="246">
        <v>0.160718492408517</v>
      </c>
    </row>
    <row r="26" spans="1:19" ht="12.75" hidden="1">
      <c r="A26" s="21"/>
      <c r="B26" s="543" t="s">
        <v>47</v>
      </c>
      <c r="C26" s="564">
        <f>767838.646/1000</f>
        <v>767.8386459999999</v>
      </c>
      <c r="D26" s="442">
        <f t="shared" si="2"/>
        <v>3.2163440064873905</v>
      </c>
      <c r="E26" s="256">
        <f>O26/1000</f>
        <v>1644.171</v>
      </c>
      <c r="F26" s="257">
        <f>E26/E69</f>
        <v>0.04018563873389106</v>
      </c>
      <c r="G26" s="264">
        <f>P26/1000</f>
        <v>1798.371</v>
      </c>
      <c r="H26" s="256"/>
      <c r="I26" s="442">
        <f t="shared" si="0"/>
        <v>4.112562496708567</v>
      </c>
      <c r="J26" s="559">
        <f t="shared" si="1"/>
        <v>15.239550066175767</v>
      </c>
      <c r="K26" s="544"/>
      <c r="L26" s="20"/>
      <c r="N26" s="21"/>
      <c r="O26" s="22">
        <v>1644171</v>
      </c>
      <c r="P26" s="23">
        <v>1798371</v>
      </c>
      <c r="Q26" s="240">
        <v>0.032163440064873906</v>
      </c>
      <c r="R26" s="240">
        <v>0.04112562496708567</v>
      </c>
      <c r="S26" s="246">
        <v>0.15239550066175767</v>
      </c>
    </row>
    <row r="27" spans="1:19" ht="12.75" hidden="1">
      <c r="A27" s="21"/>
      <c r="B27" s="543" t="s">
        <v>48</v>
      </c>
      <c r="C27" s="565"/>
      <c r="D27" s="442" t="e">
        <f t="shared" si="2"/>
        <v>#DIV/0!</v>
      </c>
      <c r="E27" s="256">
        <f>O27/1000</f>
        <v>40.368</v>
      </c>
      <c r="F27" s="257">
        <f>E27/E70</f>
        <v>0.04825915562513831</v>
      </c>
      <c r="G27" s="264">
        <f>P27/1000</f>
        <v>47.5</v>
      </c>
      <c r="H27" s="256"/>
      <c r="I27" s="442">
        <f t="shared" si="0"/>
        <v>5.188335134493912</v>
      </c>
      <c r="J27" s="559">
        <f t="shared" si="1"/>
        <v>0</v>
      </c>
      <c r="K27" s="544"/>
      <c r="L27" s="20"/>
      <c r="N27" s="21"/>
      <c r="O27" s="22">
        <v>40368</v>
      </c>
      <c r="P27" s="23">
        <v>47500</v>
      </c>
      <c r="Q27" s="240" t="e">
        <v>#DIV/0!</v>
      </c>
      <c r="R27" s="240">
        <v>0.05188335134493913</v>
      </c>
      <c r="S27" s="246"/>
    </row>
    <row r="28" spans="1:19" ht="13.5" customHeight="1" hidden="1">
      <c r="A28" s="21"/>
      <c r="B28" s="543" t="s">
        <v>531</v>
      </c>
      <c r="C28" s="562"/>
      <c r="D28" s="442">
        <f t="shared" si="2"/>
        <v>0</v>
      </c>
      <c r="E28" s="256"/>
      <c r="F28" s="257"/>
      <c r="G28" s="264"/>
      <c r="H28" s="256"/>
      <c r="I28" s="442">
        <f t="shared" si="0"/>
        <v>0</v>
      </c>
      <c r="J28" s="559">
        <f t="shared" si="1"/>
        <v>0</v>
      </c>
      <c r="K28" s="544"/>
      <c r="L28" s="20"/>
      <c r="N28" s="21"/>
      <c r="O28" s="24"/>
      <c r="P28" s="25"/>
      <c r="Q28" s="241"/>
      <c r="R28" s="241"/>
      <c r="S28" s="247"/>
    </row>
    <row r="29" spans="1:19" ht="12.75" hidden="1">
      <c r="A29" s="21"/>
      <c r="B29" s="543" t="s">
        <v>46</v>
      </c>
      <c r="C29" s="564">
        <f>127117.731/1000</f>
        <v>127.117731</v>
      </c>
      <c r="D29" s="442">
        <f t="shared" si="2"/>
        <v>0.47144169162426536</v>
      </c>
      <c r="E29" s="256">
        <f>O29/1000</f>
        <v>196.556</v>
      </c>
      <c r="F29" s="257">
        <f>E29/E68</f>
        <v>0.004695891944253506</v>
      </c>
      <c r="G29" s="264">
        <f>P29/1000</f>
        <v>407.277</v>
      </c>
      <c r="H29" s="256"/>
      <c r="I29" s="442">
        <f t="shared" si="0"/>
        <v>0.9237443450066182</v>
      </c>
      <c r="J29" s="559">
        <f t="shared" si="1"/>
        <v>21.417315201752896</v>
      </c>
      <c r="K29" s="544"/>
      <c r="L29" s="20"/>
      <c r="N29" s="21"/>
      <c r="O29" s="28">
        <v>196556</v>
      </c>
      <c r="P29" s="28">
        <v>407277</v>
      </c>
      <c r="Q29" s="239">
        <v>0.004714416916242654</v>
      </c>
      <c r="R29" s="239">
        <v>0.009237443450066182</v>
      </c>
      <c r="S29" s="246">
        <v>0.21417315201752896</v>
      </c>
    </row>
    <row r="30" spans="1:19" ht="12.75" hidden="1">
      <c r="A30" s="21"/>
      <c r="B30" s="543" t="s">
        <v>47</v>
      </c>
      <c r="C30" s="564">
        <f>275759.471/1000</f>
        <v>275.759471</v>
      </c>
      <c r="D30" s="442">
        <f t="shared" si="2"/>
        <v>1.1551089885920949</v>
      </c>
      <c r="E30" s="256">
        <f>O30/1000</f>
        <v>307.866</v>
      </c>
      <c r="F30" s="257">
        <f>E30/E69</f>
        <v>0.007524638163821223</v>
      </c>
      <c r="G30" s="264">
        <f>P30/1000</f>
        <v>319.734</v>
      </c>
      <c r="H30" s="256"/>
      <c r="I30" s="442">
        <f t="shared" si="0"/>
        <v>0.731176190742965</v>
      </c>
      <c r="J30" s="559">
        <f t="shared" si="1"/>
        <v>2.4966640329072476</v>
      </c>
      <c r="K30" s="544"/>
      <c r="L30" s="20"/>
      <c r="N30" s="21"/>
      <c r="O30" s="28">
        <v>307866</v>
      </c>
      <c r="P30" s="28">
        <v>319734</v>
      </c>
      <c r="Q30" s="239">
        <v>0.011551089885920948</v>
      </c>
      <c r="R30" s="239">
        <v>0.0073117619074296505</v>
      </c>
      <c r="S30" s="248">
        <v>0.024966640329072476</v>
      </c>
    </row>
    <row r="31" spans="1:19" ht="12.75" hidden="1">
      <c r="A31" s="21"/>
      <c r="B31" s="543" t="s">
        <v>48</v>
      </c>
      <c r="C31" s="565"/>
      <c r="D31" s="442" t="e">
        <f t="shared" si="2"/>
        <v>#DIV/0!</v>
      </c>
      <c r="E31" s="256">
        <f>O31/1000</f>
        <v>0.729</v>
      </c>
      <c r="F31" s="257">
        <f>E31/E70</f>
        <v>0.0008715052628499262</v>
      </c>
      <c r="G31" s="264">
        <f>P31/1000</f>
        <v>0.912</v>
      </c>
      <c r="H31" s="256"/>
      <c r="I31" s="442">
        <f t="shared" si="0"/>
        <v>0.09961603458228313</v>
      </c>
      <c r="J31" s="559">
        <f t="shared" si="1"/>
        <v>0</v>
      </c>
      <c r="K31" s="544"/>
      <c r="L31" s="20"/>
      <c r="N31" s="21"/>
      <c r="O31" s="28">
        <v>729</v>
      </c>
      <c r="P31" s="28">
        <v>912</v>
      </c>
      <c r="Q31" s="240" t="e">
        <v>#DIV/0!</v>
      </c>
      <c r="R31" s="240">
        <v>0.0009961603458228314</v>
      </c>
      <c r="S31" s="246"/>
    </row>
    <row r="32" spans="1:19" ht="12.75" hidden="1">
      <c r="A32" s="21"/>
      <c r="B32" s="543" t="s">
        <v>532</v>
      </c>
      <c r="C32" s="562"/>
      <c r="D32" s="442">
        <f t="shared" si="2"/>
        <v>0</v>
      </c>
      <c r="E32" s="256"/>
      <c r="F32" s="257"/>
      <c r="G32" s="264"/>
      <c r="H32" s="256"/>
      <c r="I32" s="442">
        <f t="shared" si="0"/>
        <v>0</v>
      </c>
      <c r="J32" s="559">
        <f t="shared" si="1"/>
        <v>0</v>
      </c>
      <c r="K32" s="544"/>
      <c r="L32" s="20"/>
      <c r="N32" s="21"/>
      <c r="O32" s="28"/>
      <c r="P32" s="28"/>
      <c r="Q32" s="241"/>
      <c r="R32" s="241"/>
      <c r="S32" s="246"/>
    </row>
    <row r="33" spans="1:19" ht="12.75" hidden="1">
      <c r="A33" s="21"/>
      <c r="B33" s="543" t="s">
        <v>46</v>
      </c>
      <c r="C33" s="564">
        <f>231017.567/1000</f>
        <v>231.017567</v>
      </c>
      <c r="D33" s="442">
        <f t="shared" si="2"/>
        <v>0.8567751463515507</v>
      </c>
      <c r="E33" s="256">
        <f>O33/1000</f>
        <v>307.421</v>
      </c>
      <c r="F33" s="257">
        <f>E33/E68</f>
        <v>0.007344552175432737</v>
      </c>
      <c r="G33" s="264">
        <f>P33/1000</f>
        <v>336.074</v>
      </c>
      <c r="H33" s="256"/>
      <c r="I33" s="442">
        <f t="shared" si="0"/>
        <v>0.7622489288709017</v>
      </c>
      <c r="J33" s="559">
        <f t="shared" si="1"/>
        <v>6.446565028388163</v>
      </c>
      <c r="K33" s="544"/>
      <c r="L33" s="20"/>
      <c r="N33" s="21"/>
      <c r="O33" s="28">
        <v>307421</v>
      </c>
      <c r="P33" s="28">
        <v>336074</v>
      </c>
      <c r="Q33" s="239">
        <v>0.008567751463515507</v>
      </c>
      <c r="R33" s="239">
        <v>0.007622489288709017</v>
      </c>
      <c r="S33" s="246">
        <v>0.06446565028388163</v>
      </c>
    </row>
    <row r="34" spans="1:19" ht="12.75" hidden="1">
      <c r="A34" s="21"/>
      <c r="B34" s="543" t="s">
        <v>47</v>
      </c>
      <c r="C34" s="564">
        <f>205282.035/1000</f>
        <v>205.282035</v>
      </c>
      <c r="D34" s="442">
        <f t="shared" si="2"/>
        <v>0.8598911325333118</v>
      </c>
      <c r="E34" s="256">
        <f>O34/1000</f>
        <v>300.26</v>
      </c>
      <c r="F34" s="257">
        <f>E34/E69</f>
        <v>0.007338737811479541</v>
      </c>
      <c r="G34" s="264">
        <f>P34/1000</f>
        <v>299.834</v>
      </c>
      <c r="H34" s="256"/>
      <c r="I34" s="442">
        <f t="shared" si="0"/>
        <v>0.6856683429826862</v>
      </c>
      <c r="J34" s="559">
        <f t="shared" si="1"/>
        <v>6.517669444666008</v>
      </c>
      <c r="K34" s="544"/>
      <c r="L34" s="20"/>
      <c r="N34" s="21"/>
      <c r="O34" s="28">
        <v>300260</v>
      </c>
      <c r="P34" s="28">
        <v>299834</v>
      </c>
      <c r="Q34" s="240">
        <v>0.008598911325333119</v>
      </c>
      <c r="R34" s="240">
        <v>0.006856683429826862</v>
      </c>
      <c r="S34" s="246">
        <v>0.06517669444666008</v>
      </c>
    </row>
    <row r="35" spans="1:19" ht="12.75" hidden="1">
      <c r="A35" s="21"/>
      <c r="B35" s="543" t="s">
        <v>48</v>
      </c>
      <c r="C35" s="565"/>
      <c r="D35" s="442" t="e">
        <f t="shared" si="2"/>
        <v>#DIV/0!</v>
      </c>
      <c r="E35" s="256">
        <f>O35/1000</f>
        <v>8.335</v>
      </c>
      <c r="F35" s="257">
        <f>E35/E70</f>
        <v>0.009964329719964521</v>
      </c>
      <c r="G35" s="264">
        <f>P35/1000</f>
        <v>12.697</v>
      </c>
      <c r="H35" s="256"/>
      <c r="I35" s="442">
        <f t="shared" si="0"/>
        <v>1.3868692884772464</v>
      </c>
      <c r="J35" s="559">
        <f t="shared" si="1"/>
        <v>0</v>
      </c>
      <c r="K35" s="544"/>
      <c r="L35" s="20"/>
      <c r="N35" s="21"/>
      <c r="O35" s="28">
        <v>8335</v>
      </c>
      <c r="P35" s="28">
        <v>12697</v>
      </c>
      <c r="Q35" s="240" t="e">
        <v>#DIV/0!</v>
      </c>
      <c r="R35" s="240">
        <v>0.013868692884772466</v>
      </c>
      <c r="S35" s="246"/>
    </row>
    <row r="36" spans="1:19" ht="12.75" hidden="1">
      <c r="A36" s="21"/>
      <c r="B36" s="543" t="s">
        <v>533</v>
      </c>
      <c r="C36" s="562"/>
      <c r="D36" s="442">
        <f t="shared" si="2"/>
        <v>0</v>
      </c>
      <c r="E36" s="256"/>
      <c r="F36" s="257"/>
      <c r="G36" s="264"/>
      <c r="H36" s="256"/>
      <c r="I36" s="442">
        <f t="shared" si="0"/>
        <v>0</v>
      </c>
      <c r="J36" s="559">
        <f t="shared" si="1"/>
        <v>0</v>
      </c>
      <c r="K36" s="544"/>
      <c r="L36" s="20"/>
      <c r="N36" s="21"/>
      <c r="O36" s="28"/>
      <c r="P36" s="28"/>
      <c r="Q36" s="241"/>
      <c r="R36" s="241"/>
      <c r="S36" s="247"/>
    </row>
    <row r="37" spans="1:19" ht="12.75" hidden="1">
      <c r="A37" s="21"/>
      <c r="B37" s="543" t="s">
        <v>46</v>
      </c>
      <c r="C37" s="564">
        <f>72558.237/1000</f>
        <v>72.55823699999999</v>
      </c>
      <c r="D37" s="442">
        <f t="shared" si="2"/>
        <v>0.2690968264101123</v>
      </c>
      <c r="E37" s="256">
        <f>O37/1000</f>
        <v>92.755</v>
      </c>
      <c r="F37" s="257">
        <f>E37/E68</f>
        <v>0.0022159967504896006</v>
      </c>
      <c r="G37" s="264">
        <f>P37/1000</f>
        <v>92.635</v>
      </c>
      <c r="H37" s="256"/>
      <c r="I37" s="442">
        <f t="shared" si="0"/>
        <v>0.21010530277842374</v>
      </c>
      <c r="J37" s="559">
        <f t="shared" si="1"/>
        <v>4.155305558877398</v>
      </c>
      <c r="K37" s="544"/>
      <c r="L37" s="20"/>
      <c r="N37" s="21"/>
      <c r="O37" s="28">
        <v>92755</v>
      </c>
      <c r="P37" s="28">
        <v>92635</v>
      </c>
      <c r="Q37" s="239">
        <v>0.002690968264101123</v>
      </c>
      <c r="R37" s="239">
        <v>0.0021010530277842374</v>
      </c>
      <c r="S37" s="246">
        <v>0.04155305558877398</v>
      </c>
    </row>
    <row r="38" spans="1:19" ht="12.75" hidden="1">
      <c r="A38" s="21"/>
      <c r="B38" s="543" t="s">
        <v>47</v>
      </c>
      <c r="C38" s="564">
        <f>53601.464/1000</f>
        <v>53.601464</v>
      </c>
      <c r="D38" s="442">
        <f t="shared" si="2"/>
        <v>0.224527312311589</v>
      </c>
      <c r="E38" s="256">
        <f>O38/1000</f>
        <v>101.169</v>
      </c>
      <c r="F38" s="257">
        <f>E38/E69</f>
        <v>0.0024726995458921393</v>
      </c>
      <c r="G38" s="264">
        <f>P38/1000</f>
        <v>89.507</v>
      </c>
      <c r="H38" s="256"/>
      <c r="I38" s="442">
        <f t="shared" si="0"/>
        <v>0.20468698138086844</v>
      </c>
      <c r="J38" s="559">
        <f t="shared" si="1"/>
        <v>8.921444333642148</v>
      </c>
      <c r="K38" s="544"/>
      <c r="L38" s="20"/>
      <c r="N38" s="21"/>
      <c r="O38" s="28">
        <v>101169</v>
      </c>
      <c r="P38" s="28">
        <v>89507</v>
      </c>
      <c r="Q38" s="239">
        <v>0.00224527312311589</v>
      </c>
      <c r="R38" s="239">
        <v>0.0020468698138086843</v>
      </c>
      <c r="S38" s="246">
        <v>0.08921444333642148</v>
      </c>
    </row>
    <row r="39" spans="1:19" ht="12.75" hidden="1">
      <c r="A39" s="21"/>
      <c r="B39" s="543" t="s">
        <v>48</v>
      </c>
      <c r="C39" s="565"/>
      <c r="D39" s="442" t="e">
        <f t="shared" si="2"/>
        <v>#DIV/0!</v>
      </c>
      <c r="E39" s="256">
        <f>O39/1000</f>
        <v>0.435</v>
      </c>
      <c r="F39" s="257">
        <f>E39/E70</f>
        <v>0.0005200340045812317</v>
      </c>
      <c r="G39" s="264">
        <f>P39/1000</f>
        <v>0.506</v>
      </c>
      <c r="H39" s="256"/>
      <c r="I39" s="442">
        <f t="shared" si="0"/>
        <v>0.055269422695872</v>
      </c>
      <c r="J39" s="559">
        <f t="shared" si="1"/>
        <v>0</v>
      </c>
      <c r="K39" s="544"/>
      <c r="L39" s="20"/>
      <c r="N39" s="21"/>
      <c r="O39" s="28">
        <v>435</v>
      </c>
      <c r="P39" s="28">
        <v>506</v>
      </c>
      <c r="Q39" s="240" t="e">
        <v>#DIV/0!</v>
      </c>
      <c r="R39" s="240">
        <v>0.00055269422695872</v>
      </c>
      <c r="S39" s="246"/>
    </row>
    <row r="40" spans="1:19" ht="12.75" hidden="1">
      <c r="A40" s="21"/>
      <c r="B40" s="543" t="s">
        <v>534</v>
      </c>
      <c r="C40" s="562"/>
      <c r="D40" s="442">
        <f t="shared" si="2"/>
        <v>0</v>
      </c>
      <c r="E40" s="256"/>
      <c r="F40" s="257"/>
      <c r="G40" s="264"/>
      <c r="H40" s="256"/>
      <c r="I40" s="442">
        <f t="shared" si="0"/>
        <v>0</v>
      </c>
      <c r="J40" s="559">
        <f t="shared" si="1"/>
        <v>0</v>
      </c>
      <c r="K40" s="544"/>
      <c r="L40" s="20"/>
      <c r="N40" s="21"/>
      <c r="O40" s="28"/>
      <c r="P40" s="28"/>
      <c r="Q40" s="241"/>
      <c r="R40" s="241"/>
      <c r="S40" s="247"/>
    </row>
    <row r="41" spans="1:19" ht="12.75" hidden="1">
      <c r="A41" s="21"/>
      <c r="B41" s="543" t="s">
        <v>46</v>
      </c>
      <c r="C41" s="564">
        <f>521573.065/1000</f>
        <v>521.573065</v>
      </c>
      <c r="D41" s="442">
        <f t="shared" si="2"/>
        <v>1.9343586935897474</v>
      </c>
      <c r="E41" s="256">
        <f>O41/1000</f>
        <v>793.338</v>
      </c>
      <c r="F41" s="257">
        <f>E41/E68</f>
        <v>0.01895352735744616</v>
      </c>
      <c r="G41" s="264">
        <f>P41/1000</f>
        <v>748.63</v>
      </c>
      <c r="H41" s="256"/>
      <c r="I41" s="442">
        <f t="shared" si="0"/>
        <v>1.6979665657582053</v>
      </c>
      <c r="J41" s="559">
        <f t="shared" si="1"/>
        <v>6.208354064161381</v>
      </c>
      <c r="K41" s="544"/>
      <c r="L41" s="20"/>
      <c r="N41" s="21"/>
      <c r="O41" s="28">
        <v>793338</v>
      </c>
      <c r="P41" s="28">
        <v>748630</v>
      </c>
      <c r="Q41" s="239">
        <v>0.019343586935897474</v>
      </c>
      <c r="R41" s="239">
        <v>0.016979665657582053</v>
      </c>
      <c r="S41" s="246">
        <v>0.06208354064161381</v>
      </c>
    </row>
    <row r="42" spans="1:19" ht="12.75" hidden="1">
      <c r="A42" s="21"/>
      <c r="B42" s="543" t="s">
        <v>47</v>
      </c>
      <c r="C42" s="564">
        <f>471366.494/1000</f>
        <v>471.366494</v>
      </c>
      <c r="D42" s="442">
        <f t="shared" si="2"/>
        <v>1.9744731601278043</v>
      </c>
      <c r="E42" s="256">
        <f>O42/1000</f>
        <v>673.629</v>
      </c>
      <c r="F42" s="257">
        <f>E42/E69</f>
        <v>0.016464352938150777</v>
      </c>
      <c r="G42" s="264">
        <f>P42/1000</f>
        <v>638.478</v>
      </c>
      <c r="H42" s="256"/>
      <c r="I42" s="442">
        <f t="shared" si="0"/>
        <v>1.4600884232305191</v>
      </c>
      <c r="J42" s="559">
        <f t="shared" si="1"/>
        <v>5.187598052517628</v>
      </c>
      <c r="K42" s="544"/>
      <c r="L42" s="20"/>
      <c r="N42" s="21"/>
      <c r="O42" s="28">
        <v>673629</v>
      </c>
      <c r="P42" s="28">
        <v>638478</v>
      </c>
      <c r="Q42" s="239">
        <v>0.019744731601278043</v>
      </c>
      <c r="R42" s="239">
        <v>0.014600884232305192</v>
      </c>
      <c r="S42" s="248">
        <v>0.05187598052517628</v>
      </c>
    </row>
    <row r="43" spans="1:19" ht="12.75" hidden="1">
      <c r="A43" s="21"/>
      <c r="B43" s="543" t="s">
        <v>48</v>
      </c>
      <c r="C43" s="565"/>
      <c r="D43" s="442" t="e">
        <f t="shared" si="2"/>
        <v>#DIV/0!</v>
      </c>
      <c r="E43" s="256">
        <f>O43/1000</f>
        <v>29.599</v>
      </c>
      <c r="F43" s="257">
        <f>E43/E70</f>
        <v>0.03538502644045949</v>
      </c>
      <c r="G43" s="264">
        <f>P43/1000</f>
        <v>20.869</v>
      </c>
      <c r="H43" s="256"/>
      <c r="I43" s="442">
        <f t="shared" si="0"/>
        <v>2.279481387826389</v>
      </c>
      <c r="J43" s="559">
        <f t="shared" si="1"/>
        <v>0</v>
      </c>
      <c r="K43" s="544"/>
      <c r="L43" s="20"/>
      <c r="N43" s="21"/>
      <c r="O43" s="28">
        <v>29599</v>
      </c>
      <c r="P43" s="28">
        <v>20869</v>
      </c>
      <c r="Q43" s="240" t="e">
        <v>#DIV/0!</v>
      </c>
      <c r="R43" s="240">
        <v>0.02279481387826389</v>
      </c>
      <c r="S43" s="246"/>
    </row>
    <row r="44" spans="1:19" ht="12.75" hidden="1">
      <c r="A44" s="21"/>
      <c r="B44" s="543" t="s">
        <v>535</v>
      </c>
      <c r="C44" s="562"/>
      <c r="D44" s="442">
        <f t="shared" si="2"/>
        <v>0</v>
      </c>
      <c r="E44" s="256"/>
      <c r="F44" s="257"/>
      <c r="G44" s="264"/>
      <c r="H44" s="256"/>
      <c r="I44" s="442">
        <f t="shared" si="0"/>
        <v>0</v>
      </c>
      <c r="J44" s="559">
        <f t="shared" si="1"/>
        <v>0</v>
      </c>
      <c r="K44" s="544"/>
      <c r="L44" s="20"/>
      <c r="N44" s="21"/>
      <c r="O44" s="28"/>
      <c r="P44" s="28"/>
      <c r="Q44" s="241"/>
      <c r="R44" s="241"/>
      <c r="S44" s="246"/>
    </row>
    <row r="45" spans="1:19" ht="12.75" hidden="1">
      <c r="A45" s="21"/>
      <c r="B45" s="543" t="s">
        <v>46</v>
      </c>
      <c r="C45" s="564">
        <f>799186.463/1000</f>
        <v>799.186463</v>
      </c>
      <c r="D45" s="442">
        <f t="shared" si="2"/>
        <v>2.9639438579967523</v>
      </c>
      <c r="E45" s="256">
        <f>O45/1000</f>
        <v>1337.468</v>
      </c>
      <c r="F45" s="257">
        <f>E45/E68</f>
        <v>0.03195326119221417</v>
      </c>
      <c r="G45" s="264">
        <f>P45/1000</f>
        <v>1341.372</v>
      </c>
      <c r="H45" s="256"/>
      <c r="I45" s="442">
        <f t="shared" si="0"/>
        <v>3.0423637955254472</v>
      </c>
      <c r="J45" s="559">
        <f t="shared" si="1"/>
        <v>9.01431233590364</v>
      </c>
      <c r="K45" s="544"/>
      <c r="L45" s="20"/>
      <c r="N45" s="21"/>
      <c r="O45" s="28">
        <v>1337468</v>
      </c>
      <c r="P45" s="28">
        <v>1341372</v>
      </c>
      <c r="Q45" s="239">
        <v>0.029639438579967523</v>
      </c>
      <c r="R45" s="239">
        <v>0.030423637955254473</v>
      </c>
      <c r="S45" s="246">
        <v>0.0901431233590364</v>
      </c>
    </row>
    <row r="46" spans="1:19" ht="12.75" hidden="1">
      <c r="A46" s="21"/>
      <c r="B46" s="543" t="s">
        <v>47</v>
      </c>
      <c r="C46" s="564">
        <f>840948.892/1000</f>
        <v>840.948892</v>
      </c>
      <c r="D46" s="442">
        <f t="shared" si="2"/>
        <v>3.522590250747046</v>
      </c>
      <c r="E46" s="256">
        <f>O46/1000</f>
        <v>1279.303</v>
      </c>
      <c r="F46" s="257">
        <f>E46/E69</f>
        <v>0.03126779890241528</v>
      </c>
      <c r="G46" s="264">
        <f>P46/1000</f>
        <v>1411.354</v>
      </c>
      <c r="H46" s="256"/>
      <c r="I46" s="442">
        <f t="shared" si="0"/>
        <v>3.2275217571789265</v>
      </c>
      <c r="J46" s="559">
        <f t="shared" si="1"/>
        <v>9.012858057188144</v>
      </c>
      <c r="K46" s="544"/>
      <c r="L46" s="20"/>
      <c r="N46" s="21"/>
      <c r="O46" s="28">
        <v>1279303</v>
      </c>
      <c r="P46" s="28">
        <v>1411354</v>
      </c>
      <c r="Q46" s="240">
        <v>0.03522590250747046</v>
      </c>
      <c r="R46" s="240">
        <v>0.032275217571789264</v>
      </c>
      <c r="S46" s="246">
        <v>0.09012858057188144</v>
      </c>
    </row>
    <row r="47" spans="1:19" ht="12.75">
      <c r="A47" s="21"/>
      <c r="B47" s="543" t="s">
        <v>555</v>
      </c>
      <c r="C47" s="562"/>
      <c r="D47" s="442"/>
      <c r="E47" s="256"/>
      <c r="F47" s="257"/>
      <c r="G47" s="264"/>
      <c r="H47" s="256"/>
      <c r="I47" s="442"/>
      <c r="J47" s="559"/>
      <c r="K47" s="544"/>
      <c r="L47" s="20"/>
      <c r="N47" s="21"/>
      <c r="O47" s="28"/>
      <c r="P47" s="28"/>
      <c r="Q47" s="241"/>
      <c r="R47" s="241"/>
      <c r="S47" s="247"/>
    </row>
    <row r="48" spans="1:19" ht="12.75">
      <c r="A48" s="21"/>
      <c r="B48" s="545" t="s">
        <v>46</v>
      </c>
      <c r="C48" s="564">
        <f>3014185.088/1000</f>
        <v>3014.185088</v>
      </c>
      <c r="D48" s="442">
        <f>Q48*100</f>
        <v>11.178712092928683</v>
      </c>
      <c r="E48" s="256">
        <f>O48/1000</f>
        <v>3105.908</v>
      </c>
      <c r="F48" s="257">
        <f>E48/E68</f>
        <v>0.07420281424526606</v>
      </c>
      <c r="G48" s="264">
        <f>P48/1000</f>
        <v>3253.455</v>
      </c>
      <c r="H48" s="256"/>
      <c r="I48" s="442">
        <f t="shared" si="0"/>
        <v>7.379156343185368</v>
      </c>
      <c r="J48" s="559">
        <f t="shared" si="1"/>
        <v>1.2812721929982507</v>
      </c>
      <c r="K48" s="544"/>
      <c r="L48" s="20"/>
      <c r="N48" s="21"/>
      <c r="O48" s="28">
        <v>3105908</v>
      </c>
      <c r="P48" s="28">
        <v>3253455</v>
      </c>
      <c r="Q48" s="239">
        <v>0.11178712092928682</v>
      </c>
      <c r="R48" s="239">
        <v>0.07379156343185368</v>
      </c>
      <c r="S48" s="246">
        <v>0.012812721929982507</v>
      </c>
    </row>
    <row r="49" spans="1:19" ht="12.75">
      <c r="A49" s="21"/>
      <c r="B49" s="545" t="s">
        <v>47</v>
      </c>
      <c r="C49" s="564">
        <f>2789187.35/1000</f>
        <v>2789.18735</v>
      </c>
      <c r="D49" s="442">
        <f>Q49*100</f>
        <v>11.683426020397192</v>
      </c>
      <c r="E49" s="256">
        <f>O49/1000</f>
        <v>3686.223</v>
      </c>
      <c r="F49" s="257">
        <f>E49/E69</f>
        <v>0.09009599717460051</v>
      </c>
      <c r="G49" s="264">
        <f>P49/1000</f>
        <v>3864.903</v>
      </c>
      <c r="H49" s="256"/>
      <c r="I49" s="442">
        <f t="shared" si="0"/>
        <v>8.838362680012317</v>
      </c>
      <c r="J49" s="559">
        <f t="shared" si="1"/>
        <v>5.586927388273222</v>
      </c>
      <c r="K49" s="544"/>
      <c r="L49" s="20"/>
      <c r="N49" s="21"/>
      <c r="O49" s="28">
        <v>3686223</v>
      </c>
      <c r="P49" s="28">
        <v>3864903</v>
      </c>
      <c r="Q49" s="240">
        <v>0.11683426020397192</v>
      </c>
      <c r="R49" s="240">
        <v>0.08838362680012317</v>
      </c>
      <c r="S49" s="248">
        <v>0.05586927388273222</v>
      </c>
    </row>
    <row r="50" spans="1:19" ht="12.75">
      <c r="A50" s="21"/>
      <c r="B50" s="543" t="s">
        <v>556</v>
      </c>
      <c r="C50" s="565"/>
      <c r="D50" s="442"/>
      <c r="E50" s="256"/>
      <c r="F50" s="257"/>
      <c r="G50" s="264"/>
      <c r="H50" s="256"/>
      <c r="I50" s="442"/>
      <c r="J50" s="559"/>
      <c r="K50" s="544"/>
      <c r="L50" s="20"/>
      <c r="N50" s="21"/>
      <c r="O50" s="28"/>
      <c r="P50" s="28"/>
      <c r="Q50" s="239"/>
      <c r="R50" s="239"/>
      <c r="S50" s="246"/>
    </row>
    <row r="51" spans="1:19" ht="12.75">
      <c r="A51" s="21"/>
      <c r="B51" s="545" t="s">
        <v>46</v>
      </c>
      <c r="C51" s="566">
        <f>SUM(C21,C25,C29,C33,C37,C41,C45)</f>
        <v>2862.197354</v>
      </c>
      <c r="D51" s="442">
        <f>Q51*100</f>
        <v>10.615034989353736</v>
      </c>
      <c r="E51" s="256"/>
      <c r="F51" s="257"/>
      <c r="G51" s="265">
        <f>SUM(G21,G25,G29,G33,G37,G41,G45)</f>
        <v>5387.134</v>
      </c>
      <c r="H51" s="259"/>
      <c r="I51" s="442">
        <f t="shared" si="0"/>
        <v>12.21855044181941</v>
      </c>
      <c r="J51" s="559">
        <f t="shared" si="1"/>
        <v>11.115940636621291</v>
      </c>
      <c r="K51" s="544"/>
      <c r="L51" s="20"/>
      <c r="N51" s="21"/>
      <c r="O51" s="28"/>
      <c r="P51" s="28"/>
      <c r="Q51" s="239">
        <v>0.10615034989353736</v>
      </c>
      <c r="R51" s="239">
        <v>0.12218550441819409</v>
      </c>
      <c r="S51" s="246">
        <v>0.11115940636621291</v>
      </c>
    </row>
    <row r="52" spans="1:19" ht="12.75">
      <c r="A52" s="21"/>
      <c r="B52" s="545" t="s">
        <v>47</v>
      </c>
      <c r="C52" s="566">
        <f>SUM(C22,C26,C30,C34,C38,C42,C46)</f>
        <v>2958.247113</v>
      </c>
      <c r="D52" s="442">
        <f>Q52*100</f>
        <v>12.391588286383511</v>
      </c>
      <c r="E52" s="256"/>
      <c r="F52" s="257"/>
      <c r="G52" s="265">
        <f>SUM(G22,G26,G30,G34,G38,G42,G46)</f>
        <v>5138.0380000000005</v>
      </c>
      <c r="H52" s="259"/>
      <c r="I52" s="442">
        <f t="shared" si="0"/>
        <v>11.749801562338078</v>
      </c>
      <c r="J52" s="559">
        <f t="shared" si="1"/>
        <v>9.637841584030426</v>
      </c>
      <c r="K52" s="544"/>
      <c r="L52" s="20"/>
      <c r="N52" s="21"/>
      <c r="O52" s="28"/>
      <c r="P52" s="28"/>
      <c r="Q52" s="240">
        <v>0.12391588286383512</v>
      </c>
      <c r="R52" s="240">
        <v>0.11749801562338079</v>
      </c>
      <c r="S52" s="246">
        <v>0.09637841584030427</v>
      </c>
    </row>
    <row r="53" spans="1:19" ht="12.75" hidden="1">
      <c r="A53" s="21"/>
      <c r="B53" s="543" t="s">
        <v>48</v>
      </c>
      <c r="C53" s="565"/>
      <c r="D53" s="442" t="e">
        <f>Q53*100</f>
        <v>#DIV/0!</v>
      </c>
      <c r="E53" s="256">
        <f>O53/1000</f>
        <v>17.073</v>
      </c>
      <c r="F53" s="257">
        <f>E53/E70</f>
        <v>0.02041043806946062</v>
      </c>
      <c r="G53" s="264">
        <f>P53/1000</f>
        <v>21.827</v>
      </c>
      <c r="H53" s="256"/>
      <c r="I53" s="442">
        <f t="shared" si="0"/>
        <v>2.3841219153810242</v>
      </c>
      <c r="J53" s="559">
        <f t="shared" si="1"/>
        <v>0</v>
      </c>
      <c r="K53" s="544"/>
      <c r="L53" s="20"/>
      <c r="N53" s="21"/>
      <c r="O53" s="28">
        <v>17073</v>
      </c>
      <c r="P53" s="28">
        <v>21827</v>
      </c>
      <c r="Q53" s="240" t="e">
        <v>#DIV/0!</v>
      </c>
      <c r="R53" s="240">
        <v>0.023841219153810243</v>
      </c>
      <c r="S53" s="246"/>
    </row>
    <row r="54" spans="1:19" ht="12.75" hidden="1">
      <c r="A54" s="21"/>
      <c r="B54" s="543" t="s">
        <v>48</v>
      </c>
      <c r="C54" s="565"/>
      <c r="D54" s="442" t="e">
        <f>Q54*100</f>
        <v>#DIV/0!</v>
      </c>
      <c r="E54" s="256">
        <f>O54/1000</f>
        <v>11.6</v>
      </c>
      <c r="F54" s="257">
        <f>E54/E70</f>
        <v>0.013867573455499512</v>
      </c>
      <c r="G54" s="264">
        <f>P54/1000</f>
        <v>17.136</v>
      </c>
      <c r="H54" s="256"/>
      <c r="I54" s="442">
        <f t="shared" si="0"/>
        <v>1.8717328603092145</v>
      </c>
      <c r="J54" s="559">
        <f t="shared" si="1"/>
        <v>0</v>
      </c>
      <c r="K54" s="544"/>
      <c r="L54" s="20"/>
      <c r="N54" s="21"/>
      <c r="O54" s="28">
        <v>11600</v>
      </c>
      <c r="P54" s="28">
        <v>17136</v>
      </c>
      <c r="Q54" s="240" t="e">
        <v>#DIV/0!</v>
      </c>
      <c r="R54" s="240">
        <v>0.018717328603092144</v>
      </c>
      <c r="S54" s="246"/>
    </row>
    <row r="55" spans="1:19" ht="12.75">
      <c r="A55" s="21"/>
      <c r="B55" s="546" t="s">
        <v>557</v>
      </c>
      <c r="C55" s="562"/>
      <c r="D55" s="442"/>
      <c r="E55" s="256"/>
      <c r="F55" s="257"/>
      <c r="G55" s="264"/>
      <c r="H55" s="256"/>
      <c r="I55" s="442"/>
      <c r="J55" s="559"/>
      <c r="K55" s="544"/>
      <c r="L55" s="20"/>
      <c r="N55" s="21"/>
      <c r="O55" s="28"/>
      <c r="P55" s="28"/>
      <c r="Q55" s="241"/>
      <c r="R55" s="241"/>
      <c r="S55" s="247"/>
    </row>
    <row r="56" spans="1:19" ht="12.75">
      <c r="A56" s="21"/>
      <c r="B56" s="545" t="s">
        <v>46</v>
      </c>
      <c r="C56" s="564">
        <f>2641796.935/1000</f>
        <v>2641.796935</v>
      </c>
      <c r="D56" s="442">
        <f>Q56*100</f>
        <v>9.797635673375883</v>
      </c>
      <c r="E56" s="256">
        <f>O56/1000</f>
        <v>3063.898</v>
      </c>
      <c r="F56" s="257">
        <f>E56/E68</f>
        <v>0.07319915920253987</v>
      </c>
      <c r="G56" s="264">
        <f>P56/1000</f>
        <v>3752.739</v>
      </c>
      <c r="H56" s="256"/>
      <c r="I56" s="442">
        <f t="shared" si="0"/>
        <v>8.511581625124403</v>
      </c>
      <c r="J56" s="559">
        <f t="shared" si="1"/>
        <v>6.024969152411197</v>
      </c>
      <c r="K56" s="544"/>
      <c r="L56" s="20"/>
      <c r="N56" s="21"/>
      <c r="O56" s="28">
        <v>3063898</v>
      </c>
      <c r="P56" s="28">
        <v>3752739</v>
      </c>
      <c r="Q56" s="239">
        <v>0.09797635673375882</v>
      </c>
      <c r="R56" s="239">
        <v>0.08511581625124404</v>
      </c>
      <c r="S56" s="246">
        <v>0.06024969152411197</v>
      </c>
    </row>
    <row r="57" spans="1:19" ht="12.75">
      <c r="A57" s="21"/>
      <c r="B57" s="545" t="s">
        <v>47</v>
      </c>
      <c r="C57" s="564">
        <f>383813.542/1000</f>
        <v>383.81354200000004</v>
      </c>
      <c r="D57" s="442">
        <f>Q57*100</f>
        <v>1.6077289048308678</v>
      </c>
      <c r="E57" s="256">
        <f>O57/1000</f>
        <v>2600.781</v>
      </c>
      <c r="F57" s="257">
        <f>E57/E69</f>
        <v>0.06356640865942041</v>
      </c>
      <c r="G57" s="264">
        <f>P57/1000</f>
        <v>2983.773</v>
      </c>
      <c r="H57" s="256"/>
      <c r="I57" s="442">
        <f t="shared" si="0"/>
        <v>6.823371227901035</v>
      </c>
      <c r="J57" s="559">
        <f t="shared" si="1"/>
        <v>40.7475728552178</v>
      </c>
      <c r="K57" s="544"/>
      <c r="L57" s="20"/>
      <c r="N57" s="21"/>
      <c r="O57" s="28">
        <v>2600781</v>
      </c>
      <c r="P57" s="28">
        <v>2983773</v>
      </c>
      <c r="Q57" s="239">
        <v>0.016077289048308678</v>
      </c>
      <c r="R57" s="239">
        <v>0.06823371227901034</v>
      </c>
      <c r="S57" s="248">
        <v>0.40747572855217795</v>
      </c>
    </row>
    <row r="58" spans="1:19" ht="12.75" hidden="1">
      <c r="A58" s="21"/>
      <c r="B58" s="543" t="s">
        <v>48</v>
      </c>
      <c r="C58" s="565"/>
      <c r="D58" s="442" t="e">
        <f>Q58*100</f>
        <v>#DIV/0!</v>
      </c>
      <c r="E58" s="256">
        <f>O58/1000</f>
        <v>270.887</v>
      </c>
      <c r="F58" s="257">
        <f>E58/E70</f>
        <v>0.3238401181586118</v>
      </c>
      <c r="G58" s="264">
        <f>P58/1000</f>
        <v>271.191</v>
      </c>
      <c r="H58" s="256"/>
      <c r="I58" s="442">
        <f t="shared" si="0"/>
        <v>29.62167986228502</v>
      </c>
      <c r="J58" s="559">
        <f t="shared" si="1"/>
        <v>0</v>
      </c>
      <c r="K58" s="544"/>
      <c r="L58" s="20"/>
      <c r="N58" s="21"/>
      <c r="O58" s="28">
        <v>270887</v>
      </c>
      <c r="P58" s="28">
        <v>271191</v>
      </c>
      <c r="Q58" s="240" t="e">
        <v>#DIV/0!</v>
      </c>
      <c r="R58" s="240">
        <v>0.2962167986228502</v>
      </c>
      <c r="S58" s="246"/>
    </row>
    <row r="59" spans="1:19" ht="12.75">
      <c r="A59" s="21"/>
      <c r="B59" s="546" t="s">
        <v>571</v>
      </c>
      <c r="C59" s="562"/>
      <c r="D59" s="442"/>
      <c r="E59" s="256"/>
      <c r="F59" s="257"/>
      <c r="G59" s="264"/>
      <c r="H59" s="256"/>
      <c r="I59" s="442"/>
      <c r="J59" s="559"/>
      <c r="K59" s="544"/>
      <c r="L59" s="20"/>
      <c r="N59" s="21"/>
      <c r="O59" s="28"/>
      <c r="P59" s="28"/>
      <c r="Q59" s="241"/>
      <c r="R59" s="241"/>
      <c r="S59" s="246"/>
    </row>
    <row r="60" spans="1:19" ht="12.75">
      <c r="A60" s="21"/>
      <c r="B60" s="547" t="s">
        <v>573</v>
      </c>
      <c r="C60" s="564">
        <f>1695823.348/1000</f>
        <v>1695.823348</v>
      </c>
      <c r="D60" s="442">
        <f>Q60*100</f>
        <v>6.28930222076608</v>
      </c>
      <c r="E60" s="256">
        <f>O60/1000</f>
        <v>2114.419</v>
      </c>
      <c r="F60" s="257">
        <f>E60/E68</f>
        <v>0.05051528902133007</v>
      </c>
      <c r="G60" s="264">
        <f>P60/1000</f>
        <v>1923.638</v>
      </c>
      <c r="H60" s="256"/>
      <c r="I60" s="442">
        <f t="shared" si="0"/>
        <v>4.363000425606752</v>
      </c>
      <c r="J60" s="559">
        <f t="shared" si="1"/>
        <v>2.1230529675559495</v>
      </c>
      <c r="K60" s="544"/>
      <c r="L60" s="20"/>
      <c r="N60" s="21"/>
      <c r="O60" s="28">
        <v>2114419</v>
      </c>
      <c r="P60" s="28">
        <v>1923638</v>
      </c>
      <c r="Q60" s="239">
        <v>0.0628930222076608</v>
      </c>
      <c r="R60" s="239">
        <v>0.04363000425606752</v>
      </c>
      <c r="S60" s="246">
        <v>0.021230529675559495</v>
      </c>
    </row>
    <row r="61" spans="1:19" ht="12.75">
      <c r="A61" s="21"/>
      <c r="B61" s="545" t="s">
        <v>574</v>
      </c>
      <c r="C61" s="564">
        <f>1612794.689/1000</f>
        <v>1612.794689</v>
      </c>
      <c r="D61" s="442">
        <f>Q61*100</f>
        <v>6.755719523473745</v>
      </c>
      <c r="E61" s="256">
        <f>O61/1000</f>
        <v>1868.588</v>
      </c>
      <c r="F61" s="257">
        <f>E61/E69</f>
        <v>0.04567067677904794</v>
      </c>
      <c r="G61" s="264">
        <f>P61/1000</f>
        <v>1718.618</v>
      </c>
      <c r="H61" s="256"/>
      <c r="I61" s="442">
        <f t="shared" si="0"/>
        <v>3.930181221209797</v>
      </c>
      <c r="J61" s="559">
        <f t="shared" si="1"/>
        <v>1.0648289368438757</v>
      </c>
      <c r="K61" s="544"/>
      <c r="L61" s="20"/>
      <c r="N61" s="21"/>
      <c r="O61" s="28">
        <v>1868588</v>
      </c>
      <c r="P61" s="28">
        <v>1718618</v>
      </c>
      <c r="Q61" s="240">
        <v>0.06755719523473745</v>
      </c>
      <c r="R61" s="240">
        <v>0.03930181221209797</v>
      </c>
      <c r="S61" s="246">
        <v>0.010648289368438757</v>
      </c>
    </row>
    <row r="62" spans="1:19" ht="12.75" hidden="1">
      <c r="A62" s="21"/>
      <c r="B62" s="543" t="s">
        <v>48</v>
      </c>
      <c r="C62" s="565"/>
      <c r="D62" s="442" t="e">
        <f>Q62*100</f>
        <v>#DIV/0!</v>
      </c>
      <c r="E62" s="256">
        <f>O62/1000</f>
        <v>30.902</v>
      </c>
      <c r="F62" s="257">
        <f>E62/E70</f>
        <v>0.03694273749326259</v>
      </c>
      <c r="G62" s="264">
        <f>P62/1000</f>
        <v>33.22</v>
      </c>
      <c r="H62" s="256"/>
      <c r="I62" s="442">
        <f t="shared" si="0"/>
        <v>3.6285577509029006</v>
      </c>
      <c r="J62" s="559">
        <f t="shared" si="1"/>
        <v>0</v>
      </c>
      <c r="K62" s="544"/>
      <c r="L62" s="20"/>
      <c r="N62" s="21"/>
      <c r="O62" s="28">
        <v>30902</v>
      </c>
      <c r="P62" s="28">
        <v>33220</v>
      </c>
      <c r="Q62" s="240" t="e">
        <v>#DIV/0!</v>
      </c>
      <c r="R62" s="240">
        <v>0.036285577509029006</v>
      </c>
      <c r="S62" s="246"/>
    </row>
    <row r="63" spans="1:19" ht="12.75">
      <c r="A63" s="21"/>
      <c r="B63" s="546" t="s">
        <v>572</v>
      </c>
      <c r="C63" s="562"/>
      <c r="D63" s="442"/>
      <c r="E63" s="256"/>
      <c r="F63" s="257"/>
      <c r="G63" s="264"/>
      <c r="H63" s="256"/>
      <c r="I63" s="442"/>
      <c r="J63" s="559"/>
      <c r="K63" s="544"/>
      <c r="L63" s="20"/>
      <c r="N63" s="21"/>
      <c r="O63" s="28"/>
      <c r="P63" s="28"/>
      <c r="Q63" s="239"/>
      <c r="R63" s="239"/>
      <c r="S63" s="247"/>
    </row>
    <row r="64" spans="1:19" ht="12.75">
      <c r="A64" s="21"/>
      <c r="B64" s="547" t="s">
        <v>584</v>
      </c>
      <c r="C64" s="564">
        <f>5532920.772/1000</f>
        <v>5532.9207719999995</v>
      </c>
      <c r="D64" s="442">
        <f>Q64*100</f>
        <v>20.519950347247118</v>
      </c>
      <c r="E64" s="256">
        <f>O64/1000</f>
        <v>13147.671837</v>
      </c>
      <c r="F64" s="257">
        <f>E64/E68</f>
        <v>0.31410919160471823</v>
      </c>
      <c r="G64" s="264">
        <f>P64/1000</f>
        <v>14135.997294999997</v>
      </c>
      <c r="H64" s="256"/>
      <c r="I64" s="442">
        <f t="shared" si="0"/>
        <v>32.061833990834494</v>
      </c>
      <c r="J64" s="559">
        <f t="shared" si="1"/>
        <v>16.921757194036747</v>
      </c>
      <c r="K64" s="544"/>
      <c r="L64" s="20"/>
      <c r="N64" s="21"/>
      <c r="O64" s="6">
        <v>13147671.837</v>
      </c>
      <c r="P64" s="29">
        <v>14135997.294999998</v>
      </c>
      <c r="Q64" s="239">
        <v>0.20519950347247118</v>
      </c>
      <c r="R64" s="239">
        <v>0.32061833990834493</v>
      </c>
      <c r="S64" s="246">
        <v>0.16921757194036746</v>
      </c>
    </row>
    <row r="65" spans="1:19" ht="13.5" thickBot="1">
      <c r="A65" s="21"/>
      <c r="B65" s="548" t="s">
        <v>575</v>
      </c>
      <c r="C65" s="567">
        <f>5412823.401/1000</f>
        <v>5412.823401</v>
      </c>
      <c r="D65" s="444">
        <f>Q65*100</f>
        <v>22.673386126987207</v>
      </c>
      <c r="E65" s="438">
        <f>O65/1000</f>
        <v>12322.645599</v>
      </c>
      <c r="F65" s="439">
        <f>E65/E69</f>
        <v>0.30118119361501117</v>
      </c>
      <c r="G65" s="440">
        <f>P65/1000</f>
        <v>13774.083482999999</v>
      </c>
      <c r="H65" s="438"/>
      <c r="I65" s="444">
        <f t="shared" si="0"/>
        <v>31.498939406117373</v>
      </c>
      <c r="J65" s="560">
        <f t="shared" si="1"/>
        <v>16.844015986813442</v>
      </c>
      <c r="K65" s="549"/>
      <c r="L65" s="20"/>
      <c r="N65" s="21"/>
      <c r="O65" s="29">
        <v>12322645.599</v>
      </c>
      <c r="P65" s="29">
        <v>13774083.483</v>
      </c>
      <c r="Q65" s="242">
        <v>0.22673386126987208</v>
      </c>
      <c r="R65" s="242">
        <v>0.3149893940611737</v>
      </c>
      <c r="S65" s="249">
        <v>0.16844015986813443</v>
      </c>
    </row>
    <row r="66" spans="1:19" ht="14.25" hidden="1" thickBot="1" thickTop="1">
      <c r="A66" s="21"/>
      <c r="B66" s="550" t="s">
        <v>48</v>
      </c>
      <c r="C66" s="565"/>
      <c r="D66" s="442" t="e">
        <f>Q66*100</f>
        <v>#DIV/0!</v>
      </c>
      <c r="E66" s="256">
        <f>O66/1000</f>
        <v>196.004761</v>
      </c>
      <c r="F66" s="257">
        <f>E66/E70</f>
        <v>0.23431986386164882</v>
      </c>
      <c r="G66" s="264">
        <f>P66/1000</f>
        <v>230.93726199999998</v>
      </c>
      <c r="H66" s="256"/>
      <c r="I66" s="442">
        <f t="shared" si="0"/>
        <v>25.224840216808964</v>
      </c>
      <c r="J66" s="263">
        <f t="shared" si="1"/>
        <v>0</v>
      </c>
      <c r="K66" s="544"/>
      <c r="L66" s="20"/>
      <c r="N66" s="21"/>
      <c r="O66" s="29">
        <v>196004.761</v>
      </c>
      <c r="P66" s="29">
        <v>230937.262</v>
      </c>
      <c r="Q66" s="239" t="e">
        <v>#DIV/0!</v>
      </c>
      <c r="R66" s="239">
        <v>0.25224840216808964</v>
      </c>
      <c r="S66" s="250"/>
    </row>
    <row r="67" spans="1:19" ht="13.5" thickTop="1">
      <c r="A67" s="21"/>
      <c r="B67" s="550" t="s">
        <v>49</v>
      </c>
      <c r="C67" s="562"/>
      <c r="D67" s="442"/>
      <c r="E67" s="258"/>
      <c r="F67" s="257"/>
      <c r="G67" s="266"/>
      <c r="H67" s="258"/>
      <c r="I67" s="442"/>
      <c r="J67" s="263"/>
      <c r="K67" s="544"/>
      <c r="L67" s="20"/>
      <c r="N67" s="21"/>
      <c r="O67" s="21"/>
      <c r="P67" s="21"/>
      <c r="Q67" s="243"/>
      <c r="R67" s="243"/>
      <c r="S67" s="250"/>
    </row>
    <row r="68" spans="1:19" ht="12.75">
      <c r="A68" s="21"/>
      <c r="B68" s="573" t="s">
        <v>46</v>
      </c>
      <c r="C68" s="568">
        <f aca="true" t="shared" si="3" ref="C68:F69">SUM(C9,C13,C17,C21,C25,C29,C33,C37,C48,C41,C45,C56,C60,C64)</f>
        <v>26963.616765</v>
      </c>
      <c r="D68" s="445">
        <f>Q68*100</f>
        <v>100</v>
      </c>
      <c r="E68" s="260">
        <f t="shared" si="3"/>
        <v>41857.010837</v>
      </c>
      <c r="F68" s="185">
        <f t="shared" si="3"/>
        <v>1</v>
      </c>
      <c r="G68" s="261">
        <f>SUM(P9,P13,P17,P21,P25,P29,P33,P37,P48,P41,P45,P56,P60,P64)/1000</f>
        <v>44089.796295</v>
      </c>
      <c r="H68" s="260"/>
      <c r="I68" s="445">
        <f t="shared" si="0"/>
        <v>100</v>
      </c>
      <c r="J68" s="559">
        <f t="shared" si="1"/>
        <v>8.540876522228501</v>
      </c>
      <c r="K68" s="544"/>
      <c r="L68" s="20"/>
      <c r="N68" s="21"/>
      <c r="O68" s="21"/>
      <c r="P68" s="21"/>
      <c r="Q68" s="244">
        <v>1</v>
      </c>
      <c r="R68" s="244">
        <v>1</v>
      </c>
      <c r="S68" s="246">
        <v>0.08540876522228502</v>
      </c>
    </row>
    <row r="69" spans="1:19" ht="13.5" thickBot="1">
      <c r="A69" s="21"/>
      <c r="B69" s="574" t="s">
        <v>47</v>
      </c>
      <c r="C69" s="569">
        <f t="shared" si="3"/>
        <v>23873.026158</v>
      </c>
      <c r="D69" s="551">
        <f>Q69*100</f>
        <v>100</v>
      </c>
      <c r="E69" s="552">
        <f t="shared" si="3"/>
        <v>40914.392599</v>
      </c>
      <c r="F69" s="553">
        <f t="shared" si="3"/>
        <v>0.9999999999999999</v>
      </c>
      <c r="G69" s="554">
        <f>SUM(P10,P14,P18,P22,P26,P30,P34,P38,P49,P42,P46,P57,P61,P65)/1000</f>
        <v>43728.721482999994</v>
      </c>
      <c r="H69" s="552"/>
      <c r="I69" s="551">
        <f t="shared" si="0"/>
        <v>100</v>
      </c>
      <c r="J69" s="561">
        <f>S69*100</f>
        <v>10.613945711421469</v>
      </c>
      <c r="K69" s="555"/>
      <c r="L69" s="20"/>
      <c r="N69" s="21"/>
      <c r="O69" s="21"/>
      <c r="P69" s="21"/>
      <c r="Q69" s="245">
        <v>1</v>
      </c>
      <c r="R69" s="245">
        <v>1</v>
      </c>
      <c r="S69" s="251">
        <v>0.10613945711421469</v>
      </c>
    </row>
    <row r="70" spans="1:17" ht="12.75" hidden="1">
      <c r="A70" s="21"/>
      <c r="B70" s="255" t="s">
        <v>48</v>
      </c>
      <c r="C70" s="255"/>
      <c r="D70" s="255"/>
      <c r="E70" s="261">
        <f>SUM(E11,E15,E19,E23,E27,E31,E35,E39,E53,E43,E54,E58,E62,E66)</f>
        <v>836.4837610000001</v>
      </c>
      <c r="F70" s="262">
        <f>SUM(F11,F15,F19,F23,F27,F31,F35,F39,F53,F43,F54,F58,F62,F66)</f>
        <v>1</v>
      </c>
      <c r="G70" s="261">
        <f>SUM(P11,P15,P19,P23,P27,P31,P35,P39,P53,P43,P54,P58,P62,P66)/1000</f>
        <v>915.515262</v>
      </c>
      <c r="H70" s="261"/>
      <c r="I70" s="262">
        <f>SUM(I11,I15,I19,I23,I27,I31,I35,I39,I53,I43,I54,I58,I62,I66)</f>
        <v>99.99999999999997</v>
      </c>
      <c r="J70" s="185"/>
      <c r="K70" s="20"/>
      <c r="L70" s="20"/>
      <c r="M70" s="21"/>
      <c r="N70" s="21"/>
      <c r="O70" s="21"/>
      <c r="P70" s="21"/>
      <c r="Q70" s="21"/>
    </row>
    <row r="71" spans="1:17" ht="16.5" customHeight="1">
      <c r="A71" s="21"/>
      <c r="B71" s="254" t="s">
        <v>404</v>
      </c>
      <c r="C71" s="7"/>
      <c r="D71" s="7"/>
      <c r="E71" s="20"/>
      <c r="F71" s="20"/>
      <c r="G71" s="20"/>
      <c r="H71" s="20"/>
      <c r="I71" s="20"/>
      <c r="J71" s="183"/>
      <c r="K71" s="20"/>
      <c r="L71" s="20"/>
      <c r="M71" s="21"/>
      <c r="N71" s="21"/>
      <c r="O71" s="21"/>
      <c r="P71" s="21"/>
      <c r="Q71" s="21"/>
    </row>
    <row r="72" spans="1:17" ht="12.75">
      <c r="A72" s="21"/>
      <c r="B72" s="253" t="s">
        <v>401</v>
      </c>
      <c r="C72" s="7"/>
      <c r="D72" s="7"/>
      <c r="E72" s="20"/>
      <c r="F72" s="20"/>
      <c r="G72" s="20"/>
      <c r="H72" s="20"/>
      <c r="I72" s="20"/>
      <c r="J72" s="183"/>
      <c r="K72" s="20"/>
      <c r="L72" s="20"/>
      <c r="M72" s="21"/>
      <c r="N72" s="21"/>
      <c r="O72" s="21"/>
      <c r="P72" s="21"/>
      <c r="Q72" s="21"/>
    </row>
    <row r="73" spans="1:17" ht="12.75">
      <c r="A73" s="21"/>
      <c r="B73" s="253" t="s">
        <v>402</v>
      </c>
      <c r="C73" s="12"/>
      <c r="D73" s="12"/>
      <c r="E73" s="20"/>
      <c r="F73" s="20"/>
      <c r="G73" s="20"/>
      <c r="H73" s="20"/>
      <c r="I73" s="20"/>
      <c r="J73" s="183"/>
      <c r="K73" s="20"/>
      <c r="L73" s="20"/>
      <c r="M73" s="21"/>
      <c r="N73" s="21"/>
      <c r="O73" s="21"/>
      <c r="P73" s="21"/>
      <c r="Q73" s="21"/>
    </row>
    <row r="74" spans="1:17" ht="12.75">
      <c r="A74" s="21"/>
      <c r="B74" s="253" t="s">
        <v>403</v>
      </c>
      <c r="C74" s="12"/>
      <c r="D74" s="12"/>
      <c r="E74" s="20"/>
      <c r="F74" s="20"/>
      <c r="G74" s="20"/>
      <c r="H74" s="20"/>
      <c r="I74" s="20"/>
      <c r="J74" s="183"/>
      <c r="K74" s="20"/>
      <c r="L74" s="20"/>
      <c r="M74" s="21"/>
      <c r="N74" s="21"/>
      <c r="O74" s="21"/>
      <c r="P74" s="21"/>
      <c r="Q74" s="21"/>
    </row>
    <row r="75" spans="1:17" ht="12.75">
      <c r="A75" s="21"/>
      <c r="B75" s="252" t="s">
        <v>581</v>
      </c>
      <c r="C75" s="7"/>
      <c r="D75" s="7"/>
      <c r="E75" s="20"/>
      <c r="F75" s="20"/>
      <c r="G75" s="20"/>
      <c r="H75" s="20"/>
      <c r="I75" s="20"/>
      <c r="J75" s="183"/>
      <c r="K75" s="20"/>
      <c r="L75" s="20"/>
      <c r="M75" s="21"/>
      <c r="N75" s="21"/>
      <c r="O75" s="21"/>
      <c r="P75" s="21"/>
      <c r="Q75" s="21"/>
    </row>
    <row r="76" spans="1:17" ht="12.75">
      <c r="A76" s="21"/>
      <c r="B76" s="70" t="s">
        <v>576</v>
      </c>
      <c r="C76" s="21"/>
      <c r="D76" s="21"/>
      <c r="E76" s="21"/>
      <c r="F76" s="21"/>
      <c r="G76" s="21"/>
      <c r="H76" s="21"/>
      <c r="I76" s="21"/>
      <c r="J76" s="102"/>
      <c r="K76" s="21"/>
      <c r="M76" s="21"/>
      <c r="N76" s="21"/>
      <c r="O76" s="21"/>
      <c r="P76" s="21"/>
      <c r="Q76" s="21"/>
    </row>
    <row r="123" spans="1:14" ht="12.75">
      <c r="A123" s="21"/>
      <c r="M123" s="21"/>
      <c r="N123" s="21"/>
    </row>
    <row r="124" spans="1:14" ht="12.75">
      <c r="A124" s="21"/>
      <c r="M124" s="21"/>
      <c r="N124" s="21"/>
    </row>
    <row r="125" spans="1:14" ht="12.75">
      <c r="A125" s="21"/>
      <c r="M125" s="21"/>
      <c r="N125" s="21"/>
    </row>
    <row r="126" spans="1:16" ht="12.75">
      <c r="A126" s="17"/>
      <c r="M126" s="17"/>
      <c r="N126" s="17"/>
      <c r="O126" s="31"/>
      <c r="P126" s="31"/>
    </row>
    <row r="127" spans="1:16" ht="12.75">
      <c r="A127" s="21"/>
      <c r="M127" s="21"/>
      <c r="N127" s="21"/>
      <c r="O127" s="32"/>
      <c r="P127" s="32"/>
    </row>
    <row r="128" spans="1:16" ht="12.75">
      <c r="A128" s="21"/>
      <c r="M128" s="21"/>
      <c r="N128" s="21"/>
      <c r="O128" s="32"/>
      <c r="P128" s="32"/>
    </row>
    <row r="129" spans="1:16" ht="12.75">
      <c r="A129" s="21"/>
      <c r="M129" s="21"/>
      <c r="N129" s="21"/>
      <c r="O129" s="32"/>
      <c r="P129" s="32"/>
    </row>
    <row r="130" spans="1:16" ht="12.75">
      <c r="A130" s="21"/>
      <c r="M130" s="21"/>
      <c r="N130" s="21"/>
      <c r="O130" s="32"/>
      <c r="P130" s="32"/>
    </row>
    <row r="131" spans="1:16" ht="12.75">
      <c r="A131" s="21"/>
      <c r="M131" s="21"/>
      <c r="N131" s="21"/>
      <c r="O131" s="32"/>
      <c r="P131" s="32"/>
    </row>
    <row r="132" spans="1:16" ht="12.75">
      <c r="A132" s="21"/>
      <c r="M132" s="21"/>
      <c r="N132" s="21"/>
      <c r="O132" s="32"/>
      <c r="P132" s="32"/>
    </row>
    <row r="133" spans="1:16" ht="12.75">
      <c r="A133" s="21"/>
      <c r="M133" s="21"/>
      <c r="N133" s="21"/>
      <c r="O133" s="32"/>
      <c r="P133" s="32"/>
    </row>
    <row r="134" spans="1:16" ht="12.75">
      <c r="A134" s="21"/>
      <c r="M134" s="21"/>
      <c r="N134" s="21"/>
      <c r="O134" s="32"/>
      <c r="P134" s="32"/>
    </row>
    <row r="135" spans="1:16" ht="12.75">
      <c r="A135" s="21"/>
      <c r="M135" s="21"/>
      <c r="N135" s="21"/>
      <c r="O135" s="32"/>
      <c r="P135" s="32"/>
    </row>
    <row r="136" spans="1:16" ht="12.75">
      <c r="A136" s="21"/>
      <c r="M136" s="21"/>
      <c r="N136" s="21"/>
      <c r="O136" s="32"/>
      <c r="P136" s="32"/>
    </row>
    <row r="137" spans="1:16" ht="12.75">
      <c r="A137" s="21"/>
      <c r="M137" s="21"/>
      <c r="N137" s="21"/>
      <c r="O137" s="32"/>
      <c r="P137" s="32"/>
    </row>
    <row r="138" spans="1:16" ht="12.75">
      <c r="A138" s="21"/>
      <c r="M138" s="21"/>
      <c r="N138" s="21"/>
      <c r="O138" s="32"/>
      <c r="P138" s="32"/>
    </row>
    <row r="139" spans="1:16" ht="12.75">
      <c r="A139" s="21"/>
      <c r="M139" s="21"/>
      <c r="N139" s="21"/>
      <c r="O139" s="32"/>
      <c r="P139" s="32"/>
    </row>
    <row r="140" spans="1:16" ht="12.75">
      <c r="A140" s="21"/>
      <c r="M140" s="21"/>
      <c r="N140" s="21"/>
      <c r="O140" s="32"/>
      <c r="P140" s="32"/>
    </row>
    <row r="141" spans="1:16" ht="12.75">
      <c r="A141" s="21"/>
      <c r="M141" s="21"/>
      <c r="N141" s="21"/>
      <c r="O141" s="32"/>
      <c r="P141" s="32"/>
    </row>
    <row r="142" spans="1:16" ht="12.75">
      <c r="A142" s="21"/>
      <c r="M142" s="33"/>
      <c r="N142" s="33"/>
      <c r="O142" s="32"/>
      <c r="P142" s="32"/>
    </row>
    <row r="143" spans="1:16" ht="12.75">
      <c r="A143" s="21"/>
      <c r="M143" s="21"/>
      <c r="N143" s="21"/>
      <c r="O143" s="32"/>
      <c r="P143" s="32"/>
    </row>
    <row r="144" spans="1:16" ht="12.75">
      <c r="A144" s="21"/>
      <c r="M144" s="21"/>
      <c r="N144" s="21"/>
      <c r="O144" s="32"/>
      <c r="P144" s="32"/>
    </row>
    <row r="145" spans="1:16" ht="12.75">
      <c r="A145" s="21"/>
      <c r="M145" s="21"/>
      <c r="N145" s="21"/>
      <c r="O145" s="32"/>
      <c r="P145" s="32"/>
    </row>
    <row r="146" spans="1:16" ht="12.75">
      <c r="A146" s="21"/>
      <c r="M146" s="21"/>
      <c r="N146" s="21"/>
      <c r="O146" s="32"/>
      <c r="P146" s="32"/>
    </row>
    <row r="147" spans="1:16" ht="12.75">
      <c r="A147" s="21"/>
      <c r="M147" s="21"/>
      <c r="N147" s="21"/>
      <c r="O147" s="32"/>
      <c r="P147" s="32"/>
    </row>
    <row r="148" spans="1:16" ht="12.75">
      <c r="A148" s="21"/>
      <c r="M148" s="21"/>
      <c r="N148" s="21"/>
      <c r="O148" s="32"/>
      <c r="P148" s="32"/>
    </row>
    <row r="149" spans="1:16" ht="12.75">
      <c r="A149" s="21"/>
      <c r="M149" s="21"/>
      <c r="N149" s="21"/>
      <c r="O149" s="32"/>
      <c r="P149" s="32"/>
    </row>
    <row r="150" spans="1:16" ht="12.75">
      <c r="A150" s="21"/>
      <c r="M150" s="21"/>
      <c r="N150" s="21"/>
      <c r="O150" s="32"/>
      <c r="P150" s="32"/>
    </row>
    <row r="151" spans="1:16" ht="12.75">
      <c r="A151" s="21"/>
      <c r="M151" s="21"/>
      <c r="N151" s="21"/>
      <c r="O151" s="32"/>
      <c r="P151" s="32"/>
    </row>
    <row r="152" spans="1:16" ht="12.75">
      <c r="A152" s="21"/>
      <c r="M152" s="21"/>
      <c r="N152" s="21"/>
      <c r="O152" s="32"/>
      <c r="P152" s="32"/>
    </row>
    <row r="153" spans="1:16" ht="12.75">
      <c r="A153" s="21"/>
      <c r="M153" s="21"/>
      <c r="N153" s="21"/>
      <c r="O153" s="32"/>
      <c r="P153" s="32"/>
    </row>
    <row r="154" spans="1:16" ht="12.75">
      <c r="A154" s="21"/>
      <c r="M154" s="21"/>
      <c r="N154" s="21"/>
      <c r="O154" s="32"/>
      <c r="P154" s="32"/>
    </row>
    <row r="155" spans="1:16" ht="12.75">
      <c r="A155" s="21"/>
      <c r="M155" s="21"/>
      <c r="N155" s="21"/>
      <c r="O155" s="32"/>
      <c r="P155" s="32"/>
    </row>
    <row r="156" spans="1:16" ht="12.75">
      <c r="A156" s="21"/>
      <c r="M156" s="21"/>
      <c r="N156" s="21"/>
      <c r="O156" s="32"/>
      <c r="P156" s="32"/>
    </row>
    <row r="157" spans="1:16" ht="12.75">
      <c r="A157" s="21"/>
      <c r="M157" s="21"/>
      <c r="N157" s="21"/>
      <c r="O157" s="32"/>
      <c r="P157" s="32"/>
    </row>
    <row r="158" spans="1:16" ht="12.75">
      <c r="A158" s="21"/>
      <c r="M158" s="21"/>
      <c r="N158" s="21"/>
      <c r="O158" s="32"/>
      <c r="P158" s="32"/>
    </row>
    <row r="159" spans="1:16" ht="12.75">
      <c r="A159" s="21"/>
      <c r="M159" s="21"/>
      <c r="N159" s="21"/>
      <c r="O159" s="32"/>
      <c r="P159" s="32"/>
    </row>
    <row r="160" spans="1:16" ht="12.75">
      <c r="A160" s="21"/>
      <c r="M160" s="21"/>
      <c r="N160" s="21"/>
      <c r="O160" s="32"/>
      <c r="P160" s="32"/>
    </row>
    <row r="161" spans="1:16" ht="12.75">
      <c r="A161" s="21"/>
      <c r="M161" s="21"/>
      <c r="N161" s="21"/>
      <c r="O161" s="32"/>
      <c r="P161" s="32"/>
    </row>
    <row r="162" spans="1:16" ht="12.75">
      <c r="A162" s="21"/>
      <c r="M162" s="21"/>
      <c r="N162" s="21"/>
      <c r="O162" s="32"/>
      <c r="P162" s="32"/>
    </row>
    <row r="163" spans="1:16" ht="12.75">
      <c r="A163" s="21"/>
      <c r="M163" s="21"/>
      <c r="N163" s="21"/>
      <c r="O163" s="32"/>
      <c r="P163" s="32"/>
    </row>
    <row r="164" spans="1:16" ht="12.75">
      <c r="A164" s="21"/>
      <c r="M164" s="21"/>
      <c r="N164" s="21"/>
      <c r="O164" s="32"/>
      <c r="P164" s="32"/>
    </row>
    <row r="165" spans="1:16" ht="12.75">
      <c r="A165" s="21"/>
      <c r="M165" s="21"/>
      <c r="N165" s="21"/>
      <c r="O165" s="32"/>
      <c r="P165" s="32"/>
    </row>
    <row r="166" spans="1:16" ht="12.75">
      <c r="A166" s="21"/>
      <c r="M166" s="21"/>
      <c r="N166" s="21"/>
      <c r="O166" s="32"/>
      <c r="P166" s="32"/>
    </row>
    <row r="167" spans="1:16" ht="12.75">
      <c r="A167" s="21"/>
      <c r="M167" s="21"/>
      <c r="N167" s="21"/>
      <c r="O167" s="32"/>
      <c r="P167" s="32"/>
    </row>
    <row r="168" spans="1:16" ht="12.75">
      <c r="A168" s="21"/>
      <c r="M168" s="21"/>
      <c r="N168" s="21"/>
      <c r="O168" s="32"/>
      <c r="P168" s="32"/>
    </row>
    <row r="169" spans="1:16" ht="12.75">
      <c r="A169" s="21"/>
      <c r="M169" s="21"/>
      <c r="N169" s="21"/>
      <c r="O169" s="32"/>
      <c r="P169" s="32"/>
    </row>
    <row r="170" spans="1:16" ht="12.75">
      <c r="A170" s="21"/>
      <c r="M170" s="21"/>
      <c r="N170" s="21"/>
      <c r="O170" s="32"/>
      <c r="P170" s="32"/>
    </row>
    <row r="171" spans="1:16" ht="12.75">
      <c r="A171" s="21"/>
      <c r="M171" s="21"/>
      <c r="N171" s="21"/>
      <c r="O171" s="32"/>
      <c r="P171" s="32"/>
    </row>
    <row r="172" spans="1:16" ht="12.75">
      <c r="A172" s="21"/>
      <c r="M172" s="21"/>
      <c r="N172" s="21"/>
      <c r="O172" s="32"/>
      <c r="P172" s="32"/>
    </row>
    <row r="173" spans="1:16" ht="12.75">
      <c r="A173" s="21"/>
      <c r="M173" s="21"/>
      <c r="N173" s="21"/>
      <c r="O173" s="32"/>
      <c r="P173" s="32"/>
    </row>
    <row r="174" spans="1:16" ht="12.75">
      <c r="A174" s="21"/>
      <c r="M174" s="21"/>
      <c r="N174" s="21"/>
      <c r="O174" s="32"/>
      <c r="P174" s="32"/>
    </row>
    <row r="175" spans="1:16" ht="12.75">
      <c r="A175" s="21"/>
      <c r="M175" s="21"/>
      <c r="N175" s="21"/>
      <c r="O175" s="32"/>
      <c r="P175" s="32"/>
    </row>
    <row r="176" spans="1:16" ht="12.75">
      <c r="A176" s="21"/>
      <c r="M176" s="21"/>
      <c r="N176" s="21"/>
      <c r="O176" s="32"/>
      <c r="P176" s="32"/>
    </row>
    <row r="177" spans="1:16" ht="12.75">
      <c r="A177" s="21"/>
      <c r="M177" s="21"/>
      <c r="N177" s="21"/>
      <c r="O177" s="32"/>
      <c r="P177" s="32"/>
    </row>
    <row r="178" spans="1:16" ht="12.75">
      <c r="A178" s="21"/>
      <c r="M178" s="21"/>
      <c r="N178" s="21"/>
      <c r="O178" s="32"/>
      <c r="P178" s="32"/>
    </row>
    <row r="179" spans="1:16" ht="12.75">
      <c r="A179" s="21"/>
      <c r="M179" s="21"/>
      <c r="N179" s="21"/>
      <c r="O179" s="32"/>
      <c r="P179" s="32"/>
    </row>
    <row r="180" spans="1:16" ht="12.75">
      <c r="A180" s="21"/>
      <c r="M180" s="21"/>
      <c r="N180" s="21"/>
      <c r="O180" s="32"/>
      <c r="P180" s="32"/>
    </row>
    <row r="181" spans="1:16" ht="12.75">
      <c r="A181" s="21"/>
      <c r="M181" s="21"/>
      <c r="N181" s="21"/>
      <c r="O181" s="32"/>
      <c r="P181" s="32"/>
    </row>
    <row r="182" spans="1:16" ht="12.75">
      <c r="A182" s="21"/>
      <c r="M182" s="21"/>
      <c r="N182" s="21"/>
      <c r="O182" s="32"/>
      <c r="P182" s="32"/>
    </row>
    <row r="183" spans="1:16" ht="12.75">
      <c r="A183" s="21"/>
      <c r="M183" s="21"/>
      <c r="N183" s="21"/>
      <c r="O183" s="32"/>
      <c r="P183" s="32"/>
    </row>
    <row r="184" spans="1:16" ht="12.75">
      <c r="A184" s="21"/>
      <c r="M184" s="21"/>
      <c r="N184" s="21"/>
      <c r="O184" s="32"/>
      <c r="P184" s="32"/>
    </row>
    <row r="185" spans="1:16" ht="12.75">
      <c r="A185" s="21"/>
      <c r="M185" s="21"/>
      <c r="N185" s="21"/>
      <c r="O185" s="32"/>
      <c r="P185" s="32"/>
    </row>
    <row r="186" spans="1:16" ht="12.75">
      <c r="A186" s="21"/>
      <c r="M186" s="21"/>
      <c r="N186" s="21"/>
      <c r="O186" s="32"/>
      <c r="P186" s="32"/>
    </row>
    <row r="187" spans="1:16" ht="12.75">
      <c r="A187" s="21"/>
      <c r="M187" s="21"/>
      <c r="N187" s="21"/>
      <c r="O187" s="32"/>
      <c r="P187" s="32"/>
    </row>
    <row r="188" spans="1:16" ht="12.75">
      <c r="A188" s="21"/>
      <c r="M188" s="21"/>
      <c r="N188" s="21"/>
      <c r="O188" s="32"/>
      <c r="P188" s="32"/>
    </row>
    <row r="189" spans="1:16" ht="12.75">
      <c r="A189" s="21"/>
      <c r="M189" s="21"/>
      <c r="N189" s="21"/>
      <c r="O189" s="32"/>
      <c r="P189" s="32"/>
    </row>
    <row r="190" spans="1:16" ht="12.75">
      <c r="A190" s="21"/>
      <c r="M190" s="21"/>
      <c r="N190" s="21"/>
      <c r="O190" s="32"/>
      <c r="P190" s="32"/>
    </row>
    <row r="191" spans="1:16" ht="12.75">
      <c r="A191" s="21"/>
      <c r="M191" s="21"/>
      <c r="N191" s="21"/>
      <c r="O191" s="32"/>
      <c r="P191" s="32"/>
    </row>
    <row r="192" spans="1:16" ht="12.75">
      <c r="A192" s="21"/>
      <c r="M192" s="21"/>
      <c r="N192" s="21"/>
      <c r="O192" s="32"/>
      <c r="P192" s="32"/>
    </row>
    <row r="193" spans="1:16" ht="12.75">
      <c r="A193" s="21"/>
      <c r="M193" s="21"/>
      <c r="N193" s="21"/>
      <c r="O193" s="32"/>
      <c r="P193" s="32"/>
    </row>
    <row r="194" spans="1:16" ht="12.75">
      <c r="A194" s="21"/>
      <c r="M194" s="21"/>
      <c r="N194" s="21"/>
      <c r="O194" s="32"/>
      <c r="P194" s="32"/>
    </row>
    <row r="195" spans="1:16" ht="12.75">
      <c r="A195" s="21"/>
      <c r="M195" s="21"/>
      <c r="N195" s="21"/>
      <c r="O195" s="32"/>
      <c r="P195" s="32"/>
    </row>
    <row r="196" spans="1:16" ht="12.75">
      <c r="A196" s="34"/>
      <c r="M196" s="34"/>
      <c r="N196" s="34"/>
      <c r="O196" s="35"/>
      <c r="P196" s="35"/>
    </row>
  </sheetData>
  <mergeCells count="5">
    <mergeCell ref="J6:K6"/>
    <mergeCell ref="E4:F4"/>
    <mergeCell ref="C5:D5"/>
    <mergeCell ref="C3:I3"/>
    <mergeCell ref="G5:I5"/>
  </mergeCells>
  <printOptions horizontalCentered="1" verticalCentered="1"/>
  <pageMargins left="0.3937007874015748" right="0.3937007874015748" top="0.984251968503937" bottom="0.8661417322834646" header="0" footer="0"/>
  <pageSetup fitToHeight="1" fitToWidth="1" horizontalDpi="600" verticalDpi="600" orientation="portrait" paperSize="9" scale="96" r:id="rId1"/>
  <headerFooter alignWithMargins="0">
    <oddFooter>&amp;R15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workbookViewId="0" topLeftCell="A15">
      <selection activeCell="K35" sqref="K35"/>
    </sheetView>
  </sheetViews>
  <sheetFormatPr defaultColWidth="9.140625" defaultRowHeight="12.75"/>
  <cols>
    <col min="1" max="1" width="8.00390625" style="0" customWidth="1"/>
    <col min="2" max="2" width="28.57421875" style="0" customWidth="1"/>
    <col min="4" max="4" width="0.13671875" style="0" hidden="1" customWidth="1"/>
    <col min="5" max="5" width="5.421875" style="0" customWidth="1"/>
    <col min="6" max="6" width="9.28125" style="0" customWidth="1"/>
    <col min="7" max="7" width="4.140625" style="0" customWidth="1"/>
    <col min="8" max="8" width="10.8515625" style="0" customWidth="1"/>
    <col min="9" max="9" width="0.13671875" style="0" hidden="1" customWidth="1"/>
    <col min="10" max="10" width="6.28125" style="0" customWidth="1"/>
    <col min="11" max="11" width="9.140625" style="21" customWidth="1"/>
    <col min="12" max="12" width="11.7109375" style="0" customWidth="1"/>
  </cols>
  <sheetData>
    <row r="1" spans="1:10" ht="15.75">
      <c r="A1" s="21"/>
      <c r="B1" s="199" t="s">
        <v>561</v>
      </c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21"/>
      <c r="B2" s="21" t="s">
        <v>537</v>
      </c>
      <c r="C2" s="21"/>
      <c r="D2" s="21"/>
      <c r="E2" s="21"/>
      <c r="F2" s="21"/>
      <c r="G2" s="21"/>
      <c r="H2" s="21"/>
      <c r="I2" s="21"/>
      <c r="J2" s="21"/>
      <c r="L2" s="21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.75" customHeight="1">
      <c r="A4" s="21"/>
      <c r="B4" s="585"/>
      <c r="C4" s="290" t="s">
        <v>422</v>
      </c>
      <c r="D4" s="281" t="str">
        <f>'[1]ANNEX A.Table 1'!CD3</f>
        <v>Arithmetic Average of </v>
      </c>
      <c r="E4" s="285"/>
      <c r="F4" s="417" t="s">
        <v>425</v>
      </c>
      <c r="G4" s="284"/>
      <c r="H4" s="293" t="s">
        <v>426</v>
      </c>
      <c r="I4" s="586" t="str">
        <f>'[1]ANNEX A.Table 1'!CG3</f>
        <v>Estimated tariff revenue</v>
      </c>
      <c r="J4" s="587"/>
    </row>
    <row r="5" spans="1:10" ht="15">
      <c r="A5" s="21"/>
      <c r="B5" s="532"/>
      <c r="C5" s="291" t="s">
        <v>423</v>
      </c>
      <c r="D5" s="277"/>
      <c r="E5" s="5"/>
      <c r="F5" s="279"/>
      <c r="G5" s="279"/>
      <c r="H5" s="294" t="s">
        <v>427</v>
      </c>
      <c r="I5" s="278"/>
      <c r="J5" s="67"/>
    </row>
    <row r="6" spans="1:10" ht="15" customHeight="1" thickBot="1">
      <c r="A6" s="21"/>
      <c r="B6" s="431" t="s">
        <v>60</v>
      </c>
      <c r="C6" s="292" t="s">
        <v>424</v>
      </c>
      <c r="D6" s="279" t="str">
        <f>'[1]ANNEX A.Table 1'!CD4</f>
        <v>Applied Tariffs</v>
      </c>
      <c r="E6" s="286"/>
      <c r="F6" s="280"/>
      <c r="G6" s="280"/>
      <c r="H6" s="297"/>
      <c r="I6" s="295" t="str">
        <f>'[1]ANNEX A.Table 1'!CG4</f>
        <v>with simple average</v>
      </c>
      <c r="J6" s="67"/>
    </row>
    <row r="7" spans="1:10" ht="15" customHeight="1">
      <c r="A7" s="21"/>
      <c r="B7" s="588"/>
      <c r="C7" s="301" t="s">
        <v>428</v>
      </c>
      <c r="D7" s="287"/>
      <c r="E7" s="288"/>
      <c r="F7" s="289"/>
      <c r="G7" s="289"/>
      <c r="H7" s="298"/>
      <c r="I7" s="296"/>
      <c r="J7" s="434"/>
    </row>
    <row r="8" spans="1:12" ht="14.25">
      <c r="A8" s="21"/>
      <c r="B8" s="543" t="s">
        <v>522</v>
      </c>
      <c r="C8" s="481">
        <f>L8*100</f>
        <v>1.375882774703924</v>
      </c>
      <c r="D8" s="68">
        <f>'[1]ANNEX A.Table 1'!CD51</f>
        <v>0.024435714285714286</v>
      </c>
      <c r="E8" s="482"/>
      <c r="F8" s="163">
        <f>'[2]ANNEX A.Table 1'!CE51</f>
        <v>1112.8881902633998</v>
      </c>
      <c r="G8" s="163"/>
      <c r="H8" s="481">
        <f>'[2]ANNEX A.Table 1'!CF51</f>
        <v>15.312036911548349</v>
      </c>
      <c r="I8" s="184">
        <f>'[1]ANNEX A.Table 1'!CG51</f>
        <v>27.894366447042852</v>
      </c>
      <c r="J8" s="32"/>
      <c r="L8" s="304">
        <v>0.013758827747039239</v>
      </c>
    </row>
    <row r="9" spans="1:12" ht="14.25">
      <c r="A9" s="21"/>
      <c r="B9" s="589" t="s">
        <v>523</v>
      </c>
      <c r="C9" s="481">
        <f aca="true" t="shared" si="0" ref="C9:C40">L9*100</f>
        <v>2.9144378922865517</v>
      </c>
      <c r="D9" s="68">
        <f>'[1]ANNEX A.Table 1'!CD53</f>
        <v>0.045142857142857144</v>
      </c>
      <c r="E9" s="482"/>
      <c r="F9" s="49">
        <f>'[2]ANNEX A.Table 1'!CE53</f>
        <v>463.50684000000007</v>
      </c>
      <c r="G9" s="49"/>
      <c r="H9" s="481">
        <f>'[2]ANNEX A.Table 1'!CF53</f>
        <v>13.508618978300001</v>
      </c>
      <c r="I9" s="184">
        <f>'[1]ANNEX A.Table 1'!CG53</f>
        <v>20.924023062857145</v>
      </c>
      <c r="J9" s="32"/>
      <c r="L9" s="304">
        <v>0.029144378922865515</v>
      </c>
    </row>
    <row r="10" spans="1:12" ht="14.25">
      <c r="A10" s="21"/>
      <c r="B10" s="589" t="s">
        <v>524</v>
      </c>
      <c r="C10" s="481">
        <f t="shared" si="0"/>
        <v>3.060538448508335</v>
      </c>
      <c r="D10" s="68">
        <f>'[1]ANNEX A.Table 1'!CD55</f>
        <v>0.02809285714285714</v>
      </c>
      <c r="E10" s="482"/>
      <c r="F10" s="49">
        <f>'[2]ANNEX A.Table 1'!CE55</f>
        <v>5666.219394000001</v>
      </c>
      <c r="G10" s="49"/>
      <c r="H10" s="481">
        <f>'[2]ANNEX A.Table 1'!CF55</f>
        <v>173.416823130206</v>
      </c>
      <c r="I10" s="184">
        <f>'[1]ANNEX A.Table 1'!CG55</f>
        <v>159.18029197572858</v>
      </c>
      <c r="J10" s="32"/>
      <c r="L10" s="304">
        <v>0.03060538448508335</v>
      </c>
    </row>
    <row r="11" spans="1:12" ht="14.25">
      <c r="A11" s="21"/>
      <c r="B11" s="589" t="s">
        <v>525</v>
      </c>
      <c r="C11" s="481">
        <f t="shared" si="0"/>
        <v>0</v>
      </c>
      <c r="D11" s="68">
        <f>'[1]ANNEX A.Table 1'!CD57</f>
        <v>0</v>
      </c>
      <c r="E11" s="482"/>
      <c r="F11" s="49">
        <f>'[2]ANNEX A.Table 1'!CE57</f>
        <v>2175.899433</v>
      </c>
      <c r="G11" s="49"/>
      <c r="H11" s="481">
        <f>'[2]ANNEX A.Table 1'!CF57</f>
        <v>0</v>
      </c>
      <c r="I11" s="184">
        <f>'[1]ANNEX A.Table 1'!CG57</f>
        <v>0</v>
      </c>
      <c r="J11" s="32"/>
      <c r="L11" s="304">
        <v>0</v>
      </c>
    </row>
    <row r="12" spans="1:12" ht="14.25">
      <c r="A12" s="21"/>
      <c r="B12" s="589" t="s">
        <v>526</v>
      </c>
      <c r="C12" s="481">
        <f t="shared" si="0"/>
        <v>4.206308010809129</v>
      </c>
      <c r="D12" s="68">
        <f>'[1]ANNEX A.Table 1'!CD59</f>
        <v>0.059385714285714285</v>
      </c>
      <c r="E12" s="482"/>
      <c r="F12" s="49">
        <f>'[2]ANNEX A.Table 1'!CE59</f>
        <v>223.79245557999994</v>
      </c>
      <c r="G12" s="49"/>
      <c r="H12" s="481">
        <f>'[2]ANNEX A.Table 1'!CF59</f>
        <v>9.413399986647999</v>
      </c>
      <c r="I12" s="184">
        <f>'[1]ANNEX A.Table 1'!CG59</f>
        <v>21.787007912085713</v>
      </c>
      <c r="J12" s="32"/>
      <c r="L12" s="304">
        <v>0.04206308010809129</v>
      </c>
    </row>
    <row r="13" spans="1:12" ht="14.25">
      <c r="A13" s="21"/>
      <c r="B13" s="543" t="s">
        <v>527</v>
      </c>
      <c r="C13" s="481">
        <f t="shared" si="0"/>
        <v>0.04286436183606171</v>
      </c>
      <c r="D13" s="68">
        <f>'[1]ANNEX A.Table 1'!CD61</f>
        <v>0.002428571428571429</v>
      </c>
      <c r="E13" s="482"/>
      <c r="F13" s="49">
        <f>'[2]ANNEX A.Table 1'!CE61</f>
        <v>575.863</v>
      </c>
      <c r="G13" s="49"/>
      <c r="H13" s="481">
        <f>'[2]ANNEX A.Table 1'!CF61</f>
        <v>0.24684000000000006</v>
      </c>
      <c r="I13" s="184">
        <f>'[1]ANNEX A.Table 1'!CG61</f>
        <v>1.398524428571429</v>
      </c>
      <c r="J13" s="32"/>
      <c r="L13" s="304">
        <v>0.0004286436183606171</v>
      </c>
    </row>
    <row r="14" spans="1:12" ht="14.25">
      <c r="A14" s="21"/>
      <c r="B14" s="589" t="s">
        <v>528</v>
      </c>
      <c r="C14" s="481">
        <f t="shared" si="0"/>
        <v>0.5203773478329182</v>
      </c>
      <c r="D14" s="68">
        <f>'[1]ANNEX A.Table 1'!CD63</f>
        <v>0.007757142857142858</v>
      </c>
      <c r="E14" s="482"/>
      <c r="F14" s="49">
        <f>'[2]ANNEX A.Table 1'!CE63</f>
        <v>4129.2696129999995</v>
      </c>
      <c r="G14" s="49"/>
      <c r="H14" s="481">
        <f>'[2]ANNEX A.Table 1'!CF63</f>
        <v>21.487783697</v>
      </c>
      <c r="I14" s="184">
        <f>'[1]ANNEX A.Table 1'!CG63</f>
        <v>32.0313342837</v>
      </c>
      <c r="J14" s="32"/>
      <c r="L14" s="304">
        <v>0.005203773478329182</v>
      </c>
    </row>
    <row r="15" spans="1:12" ht="13.5" thickBot="1">
      <c r="A15" s="21"/>
      <c r="B15" s="590" t="s">
        <v>564</v>
      </c>
      <c r="C15" s="485">
        <f t="shared" si="0"/>
        <v>1.6266701249608773</v>
      </c>
      <c r="D15" s="486"/>
      <c r="E15" s="487"/>
      <c r="F15" s="488">
        <f>SUM(F8:F14)</f>
        <v>14347.438925843398</v>
      </c>
      <c r="G15" s="488"/>
      <c r="H15" s="485">
        <f>SUM(H8:H14)</f>
        <v>233.38550270370234</v>
      </c>
      <c r="I15" s="428"/>
      <c r="J15" s="591"/>
      <c r="L15" s="305">
        <v>0.016266701249608773</v>
      </c>
    </row>
    <row r="16" spans="1:12" ht="15" thickTop="1">
      <c r="A16" s="21"/>
      <c r="B16" s="543" t="s">
        <v>505</v>
      </c>
      <c r="C16" s="481">
        <f t="shared" si="0"/>
        <v>18.47880147284189</v>
      </c>
      <c r="D16" s="300">
        <f>'[2]ANNEX A.Table 1'!CD5</f>
        <v>0.15459285714285714</v>
      </c>
      <c r="E16" s="483"/>
      <c r="F16" s="49">
        <f>'[2]ANNEX A.Table 1'!CE5</f>
        <v>241.438</v>
      </c>
      <c r="G16" s="49"/>
      <c r="H16" s="484">
        <f>'[2]ANNEX A.Table 1'!CF5</f>
        <v>44.6148487</v>
      </c>
      <c r="I16" s="184">
        <f>'[1]ANNEX A.Table 1'!CG5</f>
        <v>37.32459024285714</v>
      </c>
      <c r="J16" s="32"/>
      <c r="L16" s="306">
        <v>0.1847880147284189</v>
      </c>
    </row>
    <row r="17" spans="1:12" ht="14.25">
      <c r="A17" s="21"/>
      <c r="B17" s="589" t="s">
        <v>506</v>
      </c>
      <c r="C17" s="481">
        <f t="shared" si="0"/>
        <v>8.26103297420062</v>
      </c>
      <c r="D17" s="300">
        <f>'[2]ANNEX A.Table 1'!CD7</f>
        <v>0.12242857142857143</v>
      </c>
      <c r="E17" s="483"/>
      <c r="F17" s="49">
        <f>'[2]ANNEX A.Table 1'!CE7</f>
        <v>340.357</v>
      </c>
      <c r="G17" s="49"/>
      <c r="H17" s="484">
        <f>'[2]ANNEX A.Table 1'!CF7</f>
        <v>28.11700400000001</v>
      </c>
      <c r="I17" s="184">
        <f>'[1]ANNEX A.Table 1'!CG7</f>
        <v>41.669421285714286</v>
      </c>
      <c r="J17" s="32"/>
      <c r="L17" s="304">
        <v>0.0826103297420062</v>
      </c>
    </row>
    <row r="18" spans="1:12" ht="12.75">
      <c r="A18" s="21"/>
      <c r="B18" s="589" t="s">
        <v>27</v>
      </c>
      <c r="C18" s="481">
        <f t="shared" si="0"/>
        <v>10.644958924432483</v>
      </c>
      <c r="D18" s="300">
        <f>'[2]ANNEX A.Table 1'!CD9</f>
        <v>0.10541428571428575</v>
      </c>
      <c r="E18" s="483"/>
      <c r="F18" s="49">
        <f>'[2]ANNEX A.Table 1'!CE9</f>
        <v>135.748094</v>
      </c>
      <c r="G18" s="49"/>
      <c r="H18" s="484">
        <f>'[2]ANNEX A.Table 1'!CF9</f>
        <v>14.450328846999998</v>
      </c>
      <c r="I18" s="184">
        <f>'[1]ANNEX A.Table 1'!CG9</f>
        <v>14.309788366085721</v>
      </c>
      <c r="J18" s="32"/>
      <c r="L18" s="304">
        <v>0.10644958924432484</v>
      </c>
    </row>
    <row r="19" spans="1:12" ht="12.75">
      <c r="A19" s="21"/>
      <c r="B19" s="543" t="s">
        <v>15</v>
      </c>
      <c r="C19" s="481">
        <f t="shared" si="0"/>
        <v>17.169042730781552</v>
      </c>
      <c r="D19" s="300">
        <f>'[2]ANNEX A.Table 1'!CD11</f>
        <v>0.1116142857142857</v>
      </c>
      <c r="E19" s="483"/>
      <c r="F19" s="49">
        <f>'[2]ANNEX A.Table 1'!CE11</f>
        <v>624.885809</v>
      </c>
      <c r="G19" s="49"/>
      <c r="H19" s="484">
        <f>'[2]ANNEX A.Table 1'!CF11</f>
        <v>107.2869115658</v>
      </c>
      <c r="I19" s="184">
        <f>'[1]ANNEX A.Table 1'!CG11</f>
        <v>69.74618322452856</v>
      </c>
      <c r="J19" s="32"/>
      <c r="L19" s="304">
        <v>0.17169042730781553</v>
      </c>
    </row>
    <row r="20" spans="1:12" ht="14.25">
      <c r="A20" s="21"/>
      <c r="B20" s="543" t="s">
        <v>507</v>
      </c>
      <c r="C20" s="481">
        <f t="shared" si="0"/>
        <v>3.6252284452782586</v>
      </c>
      <c r="D20" s="300">
        <f>'[2]ANNEX A.Table 1'!CD13</f>
        <v>0.03533076923076923</v>
      </c>
      <c r="E20" s="483"/>
      <c r="F20" s="49">
        <f>'[2]ANNEX A.Table 1'!CE13</f>
        <v>494.648</v>
      </c>
      <c r="G20" s="49"/>
      <c r="H20" s="484">
        <f>'[2]ANNEX A.Table 1'!CF13</f>
        <v>17.93212</v>
      </c>
      <c r="I20" s="184">
        <f>'[1]ANNEX A.Table 1'!CG13</f>
        <v>17.47629433846154</v>
      </c>
      <c r="J20" s="32"/>
      <c r="L20" s="304">
        <v>0.036252284452782585</v>
      </c>
    </row>
    <row r="21" spans="1:12" ht="14.25">
      <c r="A21" s="21"/>
      <c r="B21" s="589" t="s">
        <v>508</v>
      </c>
      <c r="C21" s="481">
        <f t="shared" si="0"/>
        <v>8.28953454720203</v>
      </c>
      <c r="D21" s="300">
        <f>'[2]ANNEX A.Table 1'!CD15</f>
        <v>0.12179230769230769</v>
      </c>
      <c r="E21" s="483"/>
      <c r="F21" s="49">
        <f>'[2]ANNEX A.Table 1'!CE15</f>
        <v>155.89780600000003</v>
      </c>
      <c r="G21" s="49"/>
      <c r="H21" s="484">
        <f>'[2]ANNEX A.Table 1'!CF15</f>
        <v>12.923202486700001</v>
      </c>
      <c r="I21" s="184">
        <f>'[1]ANNEX A.Table 1'!CG15</f>
        <v>18.987153556907696</v>
      </c>
      <c r="J21" s="32"/>
      <c r="L21" s="304">
        <v>0.0828953454720203</v>
      </c>
    </row>
    <row r="22" spans="1:12" ht="14.25">
      <c r="A22" s="21"/>
      <c r="B22" s="543" t="s">
        <v>509</v>
      </c>
      <c r="C22" s="481">
        <f t="shared" si="0"/>
        <v>2.763290850130897</v>
      </c>
      <c r="D22" s="300">
        <f>'[2]ANNEX A.Table 1'!CD17</f>
        <v>0.03958461538461538</v>
      </c>
      <c r="E22" s="483"/>
      <c r="F22" s="49">
        <f>'[2]ANNEX A.Table 1'!CE17</f>
        <v>278.463</v>
      </c>
      <c r="G22" s="49"/>
      <c r="H22" s="484">
        <f>'[2]ANNEX A.Table 1'!CF17</f>
        <v>7.6947426</v>
      </c>
      <c r="I22" s="184">
        <f>'[1]ANNEX A.Table 1'!CG17</f>
        <v>11.022850753846154</v>
      </c>
      <c r="J22" s="32"/>
      <c r="L22" s="304">
        <v>0.027632908501308968</v>
      </c>
    </row>
    <row r="23" spans="1:12" ht="14.25">
      <c r="A23" s="21"/>
      <c r="B23" s="543" t="s">
        <v>510</v>
      </c>
      <c r="C23" s="481">
        <f t="shared" si="0"/>
        <v>8.586579991099708</v>
      </c>
      <c r="D23" s="300">
        <f>'[2]ANNEX A.Table 1'!CD19</f>
        <v>0.25104166666666666</v>
      </c>
      <c r="E23" s="483"/>
      <c r="F23" s="49">
        <f>'[2]ANNEX A.Table 1'!CE19</f>
        <v>24.131790999999996</v>
      </c>
      <c r="G23" s="49"/>
      <c r="H23" s="484">
        <f>'[2]ANNEX A.Table 1'!CF19</f>
        <v>2.0720955374999996</v>
      </c>
      <c r="I23" s="184">
        <f>'[1]ANNEX A.Table 1'!CG19</f>
        <v>6.0580850322916655</v>
      </c>
      <c r="J23" s="32"/>
      <c r="L23" s="304">
        <v>0.08586579991099708</v>
      </c>
    </row>
    <row r="24" spans="1:12" ht="14.25">
      <c r="A24" s="21"/>
      <c r="B24" s="543" t="s">
        <v>511</v>
      </c>
      <c r="C24" s="481">
        <f t="shared" si="0"/>
        <v>0</v>
      </c>
      <c r="D24" s="300">
        <f>'[2]ANNEX A.Table 1'!CD21</f>
        <v>0</v>
      </c>
      <c r="E24" s="483"/>
      <c r="F24" s="49">
        <f>'[2]ANNEX A.Table 1'!CE21</f>
        <v>870.393</v>
      </c>
      <c r="G24" s="49"/>
      <c r="H24" s="484">
        <f>'[2]ANNEX A.Table 1'!CF21</f>
        <v>0</v>
      </c>
      <c r="I24" s="184">
        <f>'[1]ANNEX A.Table 1'!CG21</f>
        <v>0</v>
      </c>
      <c r="J24" s="32"/>
      <c r="L24" s="304">
        <v>0</v>
      </c>
    </row>
    <row r="25" spans="1:12" ht="12.75">
      <c r="A25" s="21"/>
      <c r="B25" s="589" t="s">
        <v>30</v>
      </c>
      <c r="C25" s="481">
        <f t="shared" si="0"/>
        <v>6.852559960056349</v>
      </c>
      <c r="D25" s="300">
        <f>'[2]ANNEX A.Table 1'!CD23</f>
        <v>0.0688142857142857</v>
      </c>
      <c r="E25" s="483"/>
      <c r="F25" s="49">
        <f>'[2]ANNEX A.Table 1'!CE23</f>
        <v>112.158</v>
      </c>
      <c r="G25" s="49"/>
      <c r="H25" s="484">
        <f>'[2]ANNEX A.Table 1'!CF23</f>
        <v>7.6856942</v>
      </c>
      <c r="I25" s="184">
        <f>'[1]ANNEX A.Table 1'!CG23</f>
        <v>7.718072657142856</v>
      </c>
      <c r="J25" s="32"/>
      <c r="L25" s="304">
        <v>0.0685255996005635</v>
      </c>
    </row>
    <row r="26" spans="1:16" ht="14.25">
      <c r="A26" s="21"/>
      <c r="B26" s="543" t="s">
        <v>512</v>
      </c>
      <c r="C26" s="481">
        <f t="shared" si="0"/>
        <v>25.954988220719915</v>
      </c>
      <c r="D26" s="300">
        <f>'[2]ANNEX A.Table 1'!CD25</f>
        <v>0.18823846153846152</v>
      </c>
      <c r="E26" s="483"/>
      <c r="F26" s="49">
        <f>'[2]ANNEX A.Table 1'!CE25</f>
        <v>197.620736</v>
      </c>
      <c r="G26" s="49"/>
      <c r="H26" s="484">
        <f>'[2]ANNEX A.Table 1'!CF25</f>
        <v>51.2924387505</v>
      </c>
      <c r="I26" s="184">
        <f>'[1]ANNEX A.Table 1'!CG25</f>
        <v>37.19982331273846</v>
      </c>
      <c r="J26" s="32"/>
      <c r="L26" s="304">
        <v>0.25954988220719916</v>
      </c>
      <c r="N26">
        <f>'[2]ANNEX A.Table 1'!CE44</f>
        <v>0</v>
      </c>
      <c r="O26">
        <f>'[2]ANNEX A.Table 1'!CF44</f>
        <v>0</v>
      </c>
      <c r="P26">
        <f>'[2]ANNEX A.Table 1'!CG44</f>
        <v>0</v>
      </c>
    </row>
    <row r="27" spans="1:16" ht="12.75">
      <c r="A27" s="21"/>
      <c r="B27" s="543" t="s">
        <v>32</v>
      </c>
      <c r="C27" s="481">
        <f t="shared" si="0"/>
        <v>10.303778759170882</v>
      </c>
      <c r="D27" s="300">
        <f>'[2]ANNEX A.Table 1'!CD27</f>
        <v>0.1680214285714286</v>
      </c>
      <c r="E27" s="483"/>
      <c r="F27" s="49">
        <f>'[2]ANNEX A.Table 1'!CE27</f>
        <v>70.195</v>
      </c>
      <c r="G27" s="49"/>
      <c r="H27" s="484">
        <f>'[2]ANNEX A.Table 1'!CF27</f>
        <v>7.2327375</v>
      </c>
      <c r="I27" s="184">
        <f>'[1]ANNEX A.Table 1'!CG27</f>
        <v>11.79426417857143</v>
      </c>
      <c r="J27" s="32"/>
      <c r="L27" s="304">
        <v>0.10303778759170881</v>
      </c>
      <c r="N27">
        <f>'[2]ANNEX A.Table 1'!CE46</f>
        <v>0</v>
      </c>
      <c r="O27">
        <f>'[2]ANNEX A.Table 1'!CF46</f>
        <v>0</v>
      </c>
      <c r="P27">
        <f>'[2]ANNEX A.Table 1'!CG46</f>
        <v>0</v>
      </c>
    </row>
    <row r="28" spans="1:12" ht="12.75">
      <c r="A28" s="21"/>
      <c r="B28" s="589" t="s">
        <v>61</v>
      </c>
      <c r="C28" s="481">
        <f t="shared" si="0"/>
        <v>21.104384423702278</v>
      </c>
      <c r="D28" s="300">
        <f>'[2]ANNEX A.Table 1'!CD29</f>
        <v>0.13593571428571427</v>
      </c>
      <c r="E28" s="483"/>
      <c r="F28" s="49">
        <f>'[2]ANNEX A.Table 1'!CE29</f>
        <v>771.1195700000001</v>
      </c>
      <c r="G28" s="49"/>
      <c r="H28" s="484">
        <f>'[2]ANNEX A.Table 1'!CF29</f>
        <v>162.7400384192</v>
      </c>
      <c r="I28" s="184">
        <f>'[1]ANNEX A.Table 1'!CG29</f>
        <v>104.82268954764285</v>
      </c>
      <c r="J28" s="32"/>
      <c r="L28" s="304">
        <v>0.2110438442370228</v>
      </c>
    </row>
    <row r="29" spans="1:12" ht="14.25">
      <c r="A29" s="21"/>
      <c r="B29" s="589" t="s">
        <v>513</v>
      </c>
      <c r="C29" s="481">
        <f t="shared" si="0"/>
        <v>6.504631235871599</v>
      </c>
      <c r="D29" s="300">
        <f>'[2]ANNEX A.Table 1'!CD31</f>
        <v>0.08076923076923077</v>
      </c>
      <c r="E29" s="483"/>
      <c r="F29" s="49">
        <f>'[2]ANNEX A.Table 1'!CE31</f>
        <v>251.98177599999997</v>
      </c>
      <c r="G29" s="49"/>
      <c r="H29" s="484">
        <f>'[2]ANNEX A.Table 1'!CF31</f>
        <v>16.390485310400003</v>
      </c>
      <c r="I29" s="184">
        <f>'[1]ANNEX A.Table 1'!CG31</f>
        <v>20.352374215384614</v>
      </c>
      <c r="J29" s="32"/>
      <c r="L29" s="304">
        <v>0.065046312358716</v>
      </c>
    </row>
    <row r="30" spans="1:12" ht="14.25">
      <c r="A30" s="21"/>
      <c r="B30" s="589" t="s">
        <v>514</v>
      </c>
      <c r="C30" s="481">
        <f t="shared" si="0"/>
        <v>8.584279688913641</v>
      </c>
      <c r="D30" s="300">
        <f>'[2]ANNEX A.Table 1'!CD33</f>
        <v>0.1306285714285714</v>
      </c>
      <c r="E30" s="483"/>
      <c r="F30" s="49">
        <f>'[2]ANNEX A.Table 1'!CE33</f>
        <v>160.92971800000004</v>
      </c>
      <c r="G30" s="49"/>
      <c r="H30" s="484">
        <f>'[2]ANNEX A.Table 1'!CF33</f>
        <v>13.814657095700003</v>
      </c>
      <c r="I30" s="184">
        <f>'[1]ANNEX A.Table 1'!CG33</f>
        <v>21.022019162742858</v>
      </c>
      <c r="J30" s="32"/>
      <c r="L30" s="304">
        <v>0.08584279688913642</v>
      </c>
    </row>
    <row r="31" spans="1:12" ht="14.25">
      <c r="A31" s="21"/>
      <c r="B31" s="589" t="s">
        <v>515</v>
      </c>
      <c r="C31" s="481">
        <f t="shared" si="0"/>
        <v>29.154175230061856</v>
      </c>
      <c r="D31" s="300">
        <f>'[2]ANNEX A.Table 1'!CD35</f>
        <v>0.32666666666666666</v>
      </c>
      <c r="E31" s="483"/>
      <c r="F31" s="49">
        <f>'[2]ANNEX A.Table 1'!CE35</f>
        <v>55.232862999999995</v>
      </c>
      <c r="G31" s="49"/>
      <c r="H31" s="484">
        <f>'[2]ANNEX A.Table 1'!CF35</f>
        <v>16.1026856636</v>
      </c>
      <c r="I31" s="184">
        <f>'[1]ANNEX A.Table 1'!CG35</f>
        <v>18.042735246666666</v>
      </c>
      <c r="J31" s="32"/>
      <c r="L31" s="304">
        <v>0.2915417523006186</v>
      </c>
    </row>
    <row r="32" spans="1:12" ht="14.25">
      <c r="A32" s="21"/>
      <c r="B32" s="589" t="s">
        <v>516</v>
      </c>
      <c r="C32" s="481">
        <f t="shared" si="0"/>
        <v>12.95798628780362</v>
      </c>
      <c r="D32" s="300">
        <f>'[2]ANNEX A.Table 1'!CD37</f>
        <v>0.27347499999999997</v>
      </c>
      <c r="E32" s="483"/>
      <c r="F32" s="49">
        <f>'[2]ANNEX A.Table 1'!CE37</f>
        <v>18.006014</v>
      </c>
      <c r="G32" s="49"/>
      <c r="H32" s="484">
        <f>'[2]ANNEX A.Table 1'!CF37</f>
        <v>2.3332168251</v>
      </c>
      <c r="I32" s="184">
        <f>'[1]ANNEX A.Table 1'!CG37</f>
        <v>4.924194678649999</v>
      </c>
      <c r="J32" s="32"/>
      <c r="L32" s="304">
        <v>0.1295798628780362</v>
      </c>
    </row>
    <row r="33" spans="1:12" ht="14.25">
      <c r="A33" s="21"/>
      <c r="B33" s="543" t="s">
        <v>517</v>
      </c>
      <c r="C33" s="481">
        <f t="shared" si="0"/>
        <v>9.69850193050193</v>
      </c>
      <c r="D33" s="300">
        <f>'[2]ANNEX A.Table 1'!CD39</f>
        <v>0.11628333333333331</v>
      </c>
      <c r="E33" s="483"/>
      <c r="F33" s="49">
        <f>'[2]ANNEX A.Table 1'!CE39</f>
        <v>19.425</v>
      </c>
      <c r="G33" s="49"/>
      <c r="H33" s="484">
        <f>'[2]ANNEX A.Table 1'!CF39</f>
        <v>1.8839340000000002</v>
      </c>
      <c r="I33" s="184">
        <f>'[1]ANNEX A.Table 1'!CG39</f>
        <v>2.2588037499999998</v>
      </c>
      <c r="J33" s="32"/>
      <c r="L33" s="304">
        <v>0.09698501930501931</v>
      </c>
    </row>
    <row r="34" spans="1:12" ht="14.25">
      <c r="A34" s="21"/>
      <c r="B34" s="543" t="s">
        <v>518</v>
      </c>
      <c r="C34" s="481">
        <f t="shared" si="0"/>
        <v>12</v>
      </c>
      <c r="D34" s="300">
        <f>'[2]ANNEX A.Table 1'!CD41</f>
        <v>0.12000000000000004</v>
      </c>
      <c r="E34" s="483"/>
      <c r="F34" s="49">
        <f>'[2]ANNEX A.Table 1'!CE41</f>
        <v>67.659</v>
      </c>
      <c r="G34" s="49"/>
      <c r="H34" s="484">
        <f>'[2]ANNEX A.Table 1'!CF41</f>
        <v>8.11908</v>
      </c>
      <c r="I34" s="184">
        <f>'[1]ANNEX A.Table 1'!CG41</f>
        <v>8.119080000000004</v>
      </c>
      <c r="J34" s="32"/>
      <c r="L34" s="304">
        <v>0.12</v>
      </c>
    </row>
    <row r="35" spans="1:12" ht="14.25">
      <c r="A35" s="21"/>
      <c r="B35" s="589" t="s">
        <v>519</v>
      </c>
      <c r="C35" s="481">
        <f t="shared" si="0"/>
        <v>14.931062908310066</v>
      </c>
      <c r="D35" s="300">
        <f>'[2]ANNEX A.Table 1'!CD43</f>
        <v>0.19033333333333333</v>
      </c>
      <c r="E35" s="483"/>
      <c r="F35" s="49">
        <f>'[2]ANNEX A.Table 1'!CE43</f>
        <v>140.175487</v>
      </c>
      <c r="G35" s="49"/>
      <c r="H35" s="484">
        <f>'[2]ANNEX A.Table 1'!CF43</f>
        <v>20.929690146</v>
      </c>
      <c r="I35" s="184">
        <f>'[1]ANNEX A.Table 1'!CG43</f>
        <v>26.680067692333335</v>
      </c>
      <c r="J35" s="32"/>
      <c r="L35" s="304">
        <v>0.14931062908310067</v>
      </c>
    </row>
    <row r="36" spans="1:12" ht="14.25">
      <c r="A36" s="21"/>
      <c r="B36" s="589" t="s">
        <v>520</v>
      </c>
      <c r="C36" s="481">
        <f t="shared" si="0"/>
        <v>3.274331233967627</v>
      </c>
      <c r="D36" s="300">
        <f>'[2]ANNEX A.Table 1'!CD45</f>
        <v>0.07046153846153845</v>
      </c>
      <c r="E36" s="483"/>
      <c r="F36" s="49">
        <f>'[2]ANNEX A.Table 1'!CE45</f>
        <v>77.221102</v>
      </c>
      <c r="G36" s="49"/>
      <c r="H36" s="484">
        <f>'[2]ANNEX A.Table 1'!CF45</f>
        <v>2.528474662</v>
      </c>
      <c r="I36" s="184">
        <f>'[1]ANNEX A.Table 1'!CG45</f>
        <v>5.441117648615384</v>
      </c>
      <c r="J36" s="32"/>
      <c r="L36" s="304">
        <v>0.03274331233967627</v>
      </c>
    </row>
    <row r="37" spans="1:12" ht="14.25">
      <c r="A37" s="21"/>
      <c r="B37" s="543" t="s">
        <v>521</v>
      </c>
      <c r="C37" s="481">
        <f t="shared" si="0"/>
        <v>24.19012224192375</v>
      </c>
      <c r="D37" s="300">
        <f>'[2]ANNEX A.Table 1'!CD47</f>
        <v>0.20972499999999997</v>
      </c>
      <c r="E37" s="483"/>
      <c r="F37" s="49">
        <f>'[2]ANNEX A.Table 1'!CE47</f>
        <v>278.51541399999996</v>
      </c>
      <c r="G37" s="49"/>
      <c r="H37" s="484">
        <f>'[2]ANNEX A.Table 1'!CF47</f>
        <v>67.3732191092</v>
      </c>
      <c r="I37" s="184">
        <f>'[1]ANNEX A.Table 1'!CG47</f>
        <v>58.41164520114998</v>
      </c>
      <c r="J37" s="32"/>
      <c r="L37" s="304">
        <v>0.24190122241923748</v>
      </c>
    </row>
    <row r="38" spans="1:12" ht="13.5" thickBot="1">
      <c r="A38" s="21"/>
      <c r="B38" s="550" t="s">
        <v>599</v>
      </c>
      <c r="C38" s="18"/>
      <c r="D38" s="818"/>
      <c r="E38" s="21"/>
      <c r="F38" s="18"/>
      <c r="G38" s="819"/>
      <c r="H38" s="18"/>
      <c r="I38" s="428"/>
      <c r="J38" s="32"/>
      <c r="L38" s="305">
        <v>0.11390541701104505</v>
      </c>
    </row>
    <row r="39" spans="1:12" ht="14.25" thickBot="1" thickTop="1">
      <c r="A39" s="21"/>
      <c r="B39" s="601" t="s">
        <v>90</v>
      </c>
      <c r="C39" s="822">
        <f>L38*100</f>
        <v>11.390541701104505</v>
      </c>
      <c r="D39" s="823"/>
      <c r="E39" s="824"/>
      <c r="F39" s="826">
        <f>SUM(F16:F37)</f>
        <v>5386.20218</v>
      </c>
      <c r="G39" s="825"/>
      <c r="H39" s="822">
        <f>SUM(H16:H37)</f>
        <v>613.5176054187</v>
      </c>
      <c r="I39" s="821"/>
      <c r="J39" s="609"/>
      <c r="L39" s="820"/>
    </row>
    <row r="40" spans="1:12" ht="19.5" customHeight="1" thickTop="1">
      <c r="A40" s="21"/>
      <c r="B40" s="593" t="s">
        <v>49</v>
      </c>
      <c r="C40" s="594">
        <f t="shared" si="0"/>
        <v>4.291671788191297</v>
      </c>
      <c r="D40" s="595">
        <f>'[1]ANNEX A.Table 1'!CD68</f>
        <v>0.04052155935055121</v>
      </c>
      <c r="E40" s="596"/>
      <c r="F40" s="299">
        <f>F15+F39</f>
        <v>19733.6411058434</v>
      </c>
      <c r="G40" s="299"/>
      <c r="H40" s="594">
        <f>H15+H39</f>
        <v>846.9031081224023</v>
      </c>
      <c r="I40" s="597">
        <f>'[1]ANNEX A.Table 1'!CG68</f>
        <v>806.5968022023171</v>
      </c>
      <c r="J40" s="35"/>
      <c r="L40" s="307">
        <v>0.04291671788191297</v>
      </c>
    </row>
    <row r="41" spans="1:10" ht="13.5" customHeight="1">
      <c r="A41" s="21"/>
      <c r="B41" s="303" t="s">
        <v>438</v>
      </c>
      <c r="C41" s="70"/>
      <c r="D41" s="70"/>
      <c r="E41" s="70"/>
      <c r="F41" s="21"/>
      <c r="G41" s="21"/>
      <c r="H41" s="21"/>
      <c r="I41" s="21"/>
      <c r="J41" s="21"/>
    </row>
    <row r="42" spans="1:10" ht="12.75">
      <c r="A42" s="21"/>
      <c r="B42" s="302" t="s">
        <v>429</v>
      </c>
      <c r="C42" s="21"/>
      <c r="D42" s="70"/>
      <c r="E42" s="70"/>
      <c r="F42" s="21"/>
      <c r="G42" s="21"/>
      <c r="H42" s="21"/>
      <c r="I42" s="21"/>
      <c r="J42" s="21"/>
    </row>
    <row r="43" spans="1:10" ht="12.75">
      <c r="A43" s="21"/>
      <c r="B43" s="302" t="s">
        <v>430</v>
      </c>
      <c r="C43" s="21"/>
      <c r="D43" s="70"/>
      <c r="E43" s="70"/>
      <c r="F43" s="72"/>
      <c r="G43" s="72"/>
      <c r="H43" s="21"/>
      <c r="I43" s="21"/>
      <c r="J43" s="21"/>
    </row>
    <row r="44" spans="1:10" ht="12.75">
      <c r="A44" s="21"/>
      <c r="B44" s="302" t="s">
        <v>431</v>
      </c>
      <c r="C44" s="21"/>
      <c r="D44" s="38"/>
      <c r="E44" s="38"/>
      <c r="F44" s="72"/>
      <c r="G44" s="72"/>
      <c r="H44" s="21"/>
      <c r="I44" s="21"/>
      <c r="J44" s="21"/>
    </row>
    <row r="45" spans="1:10" ht="12.75">
      <c r="A45" s="21"/>
      <c r="B45" s="70" t="s">
        <v>439</v>
      </c>
      <c r="D45" s="38"/>
      <c r="E45" s="38"/>
      <c r="F45" s="72"/>
      <c r="G45" s="72"/>
      <c r="H45" s="21"/>
      <c r="I45" s="21"/>
      <c r="J45" s="21"/>
    </row>
    <row r="46" spans="1:10" ht="12.75">
      <c r="A46" s="21"/>
      <c r="B46" s="302" t="s">
        <v>432</v>
      </c>
      <c r="C46" s="21"/>
      <c r="D46" s="70"/>
      <c r="E46" s="70"/>
      <c r="F46" s="21"/>
      <c r="G46" s="21"/>
      <c r="H46" s="21"/>
      <c r="I46" s="21"/>
      <c r="J46" s="21"/>
    </row>
    <row r="47" spans="1:10" ht="12.75">
      <c r="A47" s="21"/>
      <c r="B47" s="302" t="s">
        <v>433</v>
      </c>
      <c r="C47" s="21"/>
      <c r="D47" s="70"/>
      <c r="E47" s="70"/>
      <c r="F47" s="21"/>
      <c r="G47" s="21"/>
      <c r="H47" s="21"/>
      <c r="I47" s="21"/>
      <c r="J47" s="21"/>
    </row>
    <row r="48" spans="1:10" ht="12.75">
      <c r="A48" s="21"/>
      <c r="B48" s="302" t="s">
        <v>434</v>
      </c>
      <c r="C48" s="21"/>
      <c r="D48" s="70"/>
      <c r="E48" s="70"/>
      <c r="F48" s="21"/>
      <c r="G48" s="21"/>
      <c r="H48" s="21"/>
      <c r="I48" s="21"/>
      <c r="J48" s="21"/>
    </row>
    <row r="49" spans="1:10" ht="12.75">
      <c r="A49" s="21"/>
      <c r="B49" s="302" t="s">
        <v>435</v>
      </c>
      <c r="C49" s="21"/>
      <c r="D49" s="70"/>
      <c r="E49" s="70"/>
      <c r="F49" s="21"/>
      <c r="G49" s="21"/>
      <c r="H49" s="21"/>
      <c r="I49" s="21"/>
      <c r="J49" s="21"/>
    </row>
    <row r="50" spans="1:10" ht="12.75">
      <c r="A50" s="21"/>
      <c r="B50" s="302" t="s">
        <v>436</v>
      </c>
      <c r="C50" s="21"/>
      <c r="D50" s="70"/>
      <c r="E50" s="70"/>
      <c r="F50" s="21"/>
      <c r="G50" s="21"/>
      <c r="H50" s="21"/>
      <c r="I50" s="21"/>
      <c r="J50" s="21"/>
    </row>
    <row r="51" spans="1:10" ht="12.75">
      <c r="A51" s="21"/>
      <c r="B51" s="302" t="s">
        <v>437</v>
      </c>
      <c r="C51" s="21"/>
      <c r="D51" s="70"/>
      <c r="E51" s="70"/>
      <c r="F51" s="21"/>
      <c r="G51" s="21"/>
      <c r="H51" s="21"/>
      <c r="I51" s="21"/>
      <c r="J51" s="21"/>
    </row>
    <row r="52" spans="1:10" ht="12.75">
      <c r="A52" s="21"/>
      <c r="B52" s="70" t="s">
        <v>63</v>
      </c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1"/>
      <c r="B53" s="70" t="s">
        <v>64</v>
      </c>
      <c r="C53" s="21"/>
      <c r="D53" s="21"/>
      <c r="E53" s="21"/>
      <c r="F53" s="21"/>
      <c r="G53" s="21"/>
      <c r="H53" s="21"/>
      <c r="I53" s="21"/>
      <c r="J53" s="21"/>
    </row>
    <row r="54" spans="1:10" ht="12.75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2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114" ht="12.75">
      <c r="B114" s="69" t="s">
        <v>62</v>
      </c>
    </row>
    <row r="115" ht="12.75">
      <c r="B115" s="71" t="s">
        <v>70</v>
      </c>
    </row>
    <row r="116" ht="12.75">
      <c r="B116" s="71" t="s">
        <v>65</v>
      </c>
    </row>
    <row r="117" ht="12.75">
      <c r="B117" s="71" t="s">
        <v>66</v>
      </c>
    </row>
    <row r="118" ht="12.75">
      <c r="B118" s="71" t="s">
        <v>71</v>
      </c>
    </row>
    <row r="119" ht="12.75">
      <c r="B119" s="73" t="s">
        <v>67</v>
      </c>
    </row>
    <row r="120" ht="12.75">
      <c r="B120" s="71" t="s">
        <v>68</v>
      </c>
    </row>
    <row r="121" ht="12.75">
      <c r="B121" s="71" t="s">
        <v>69</v>
      </c>
    </row>
    <row r="122" ht="12.75">
      <c r="B122" s="71" t="s">
        <v>72</v>
      </c>
    </row>
    <row r="123" ht="12.75">
      <c r="B123" s="38" t="s">
        <v>63</v>
      </c>
    </row>
    <row r="124" ht="12.75">
      <c r="B124" s="74" t="s">
        <v>64</v>
      </c>
    </row>
  </sheetData>
  <printOptions horizontalCentered="1" verticalCentered="1"/>
  <pageMargins left="0" right="0" top="0" bottom="0" header="0" footer="0"/>
  <pageSetup fitToHeight="1" fitToWidth="1" horizontalDpi="600" verticalDpi="600" orientation="portrait" paperSize="9" r:id="rId1"/>
  <headerFooter alignWithMargins="0">
    <oddFooter>&amp;R16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30">
      <selection activeCell="B39" sqref="B39:B40"/>
    </sheetView>
  </sheetViews>
  <sheetFormatPr defaultColWidth="9.140625" defaultRowHeight="12.75"/>
  <cols>
    <col min="1" max="1" width="8.7109375" style="0" customWidth="1"/>
    <col min="2" max="2" width="26.140625" style="100" customWidth="1"/>
    <col min="3" max="3" width="13.421875" style="100" customWidth="1"/>
    <col min="4" max="4" width="1.8515625" style="100" hidden="1" customWidth="1"/>
    <col min="5" max="5" width="12.7109375" style="100" hidden="1" customWidth="1"/>
    <col min="6" max="6" width="0.13671875" style="100" hidden="1" customWidth="1"/>
    <col min="7" max="7" width="6.8515625" style="100" customWidth="1"/>
    <col min="8" max="8" width="11.421875" style="100" customWidth="1"/>
    <col min="9" max="9" width="9.8515625" style="100" customWidth="1"/>
    <col min="10" max="10" width="0.42578125" style="100" hidden="1" customWidth="1"/>
    <col min="11" max="11" width="10.8515625" style="100" customWidth="1"/>
    <col min="12" max="12" width="6.28125" style="0" customWidth="1"/>
    <col min="13" max="13" width="12.28125" style="21" customWidth="1"/>
    <col min="14" max="14" width="9.140625" style="21" customWidth="1"/>
    <col min="15" max="15" width="12.00390625" style="0" customWidth="1"/>
    <col min="16" max="16" width="13.00390625" style="0" customWidth="1"/>
    <col min="17" max="17" width="10.8515625" style="0" customWidth="1"/>
  </cols>
  <sheetData>
    <row r="1" spans="1:12" ht="12.75">
      <c r="A1" s="20"/>
      <c r="B1" s="28"/>
      <c r="C1" s="28"/>
      <c r="D1" s="28"/>
      <c r="E1" s="28"/>
      <c r="F1" s="28"/>
      <c r="G1" s="28"/>
      <c r="H1" s="28"/>
      <c r="I1" s="28"/>
      <c r="J1" s="28"/>
      <c r="K1" s="28"/>
      <c r="L1" s="20"/>
    </row>
    <row r="2" spans="1:12" ht="15.75">
      <c r="A2" s="20"/>
      <c r="B2" s="311" t="s">
        <v>562</v>
      </c>
      <c r="C2" s="28"/>
      <c r="D2" s="312"/>
      <c r="E2" s="28"/>
      <c r="F2" s="313"/>
      <c r="G2" s="313"/>
      <c r="H2" s="313"/>
      <c r="I2" s="313"/>
      <c r="J2" s="183"/>
      <c r="K2" s="183"/>
      <c r="L2" s="183"/>
    </row>
    <row r="3" spans="1:12" ht="15.75">
      <c r="A3" s="20"/>
      <c r="B3" s="311" t="s">
        <v>538</v>
      </c>
      <c r="C3" s="28"/>
      <c r="D3" s="312"/>
      <c r="E3" s="28"/>
      <c r="F3" s="313"/>
      <c r="G3" s="313"/>
      <c r="H3" s="313"/>
      <c r="I3" s="313"/>
      <c r="J3" s="183"/>
      <c r="K3" s="183"/>
      <c r="L3" s="183"/>
    </row>
    <row r="4" spans="1:12" ht="12.75">
      <c r="A4" s="20"/>
      <c r="B4" s="103"/>
      <c r="C4" s="28"/>
      <c r="D4" s="28"/>
      <c r="E4" s="28"/>
      <c r="F4" s="28"/>
      <c r="G4" s="28"/>
      <c r="H4" s="28"/>
      <c r="I4" s="28"/>
      <c r="J4" s="28"/>
      <c r="K4" s="309"/>
      <c r="L4" s="21"/>
    </row>
    <row r="5" spans="1:12" ht="15">
      <c r="A5" s="20"/>
      <c r="B5" s="530" t="s">
        <v>60</v>
      </c>
      <c r="C5" s="536" t="s">
        <v>446</v>
      </c>
      <c r="D5" s="537"/>
      <c r="E5" s="537"/>
      <c r="F5" s="537"/>
      <c r="G5" s="538"/>
      <c r="H5" s="515" t="s">
        <v>445</v>
      </c>
      <c r="I5" s="448"/>
      <c r="J5" s="448"/>
      <c r="K5" s="448"/>
      <c r="L5" s="449"/>
    </row>
    <row r="6" spans="1:15" ht="15">
      <c r="A6" s="20"/>
      <c r="B6" s="532"/>
      <c r="C6" s="539" t="s">
        <v>447</v>
      </c>
      <c r="D6" s="540"/>
      <c r="E6" s="540"/>
      <c r="F6" s="540"/>
      <c r="G6" s="541"/>
      <c r="H6" s="450" t="s">
        <v>345</v>
      </c>
      <c r="I6" s="451"/>
      <c r="J6" s="451"/>
      <c r="K6" s="451"/>
      <c r="L6" s="452"/>
      <c r="O6" s="21"/>
    </row>
    <row r="7" spans="1:17" ht="15">
      <c r="A7" s="20"/>
      <c r="B7" s="532"/>
      <c r="C7" s="539" t="s">
        <v>4</v>
      </c>
      <c r="D7" s="540"/>
      <c r="E7" s="540"/>
      <c r="F7" s="540"/>
      <c r="G7" s="541"/>
      <c r="H7" s="283"/>
      <c r="I7" s="282"/>
      <c r="J7" s="282"/>
      <c r="K7" s="283"/>
      <c r="L7" s="285"/>
      <c r="M7" s="347"/>
      <c r="N7" s="347"/>
      <c r="O7" s="20"/>
      <c r="P7" s="21"/>
      <c r="Q7" s="21"/>
    </row>
    <row r="8" spans="1:12" ht="15">
      <c r="A8" s="20"/>
      <c r="B8" s="588"/>
      <c r="C8" s="542" t="s">
        <v>7</v>
      </c>
      <c r="D8" s="513"/>
      <c r="E8" s="513"/>
      <c r="F8" s="513"/>
      <c r="G8" s="514"/>
      <c r="H8" s="542" t="s">
        <v>343</v>
      </c>
      <c r="I8" s="513"/>
      <c r="J8" s="310" t="s">
        <v>272</v>
      </c>
      <c r="K8" s="542" t="s">
        <v>344</v>
      </c>
      <c r="L8" s="514"/>
    </row>
    <row r="9" spans="1:17" ht="18.75" customHeight="1">
      <c r="A9" s="20"/>
      <c r="B9" s="543" t="s">
        <v>448</v>
      </c>
      <c r="C9" s="208">
        <f>'TABLE 3'!H8</f>
        <v>15.312036911548349</v>
      </c>
      <c r="D9" s="264">
        <v>27.894366447042852</v>
      </c>
      <c r="E9" s="264">
        <f>'[1]ANNEX C.Table 3'!H6</f>
        <v>2248.6315789473683</v>
      </c>
      <c r="F9" s="264">
        <f>'[1]ANNEX C.Table 3'!F6</f>
        <v>92176.61971830986</v>
      </c>
      <c r="G9" s="264"/>
      <c r="H9" s="324">
        <f>O9*100</f>
        <v>0.6809491183396186</v>
      </c>
      <c r="I9" s="103"/>
      <c r="J9" s="315">
        <v>0.012405040784894069</v>
      </c>
      <c r="K9" s="325">
        <f>Q9*100</f>
        <v>0.016611627718983044</v>
      </c>
      <c r="L9" s="544"/>
      <c r="O9" s="314">
        <v>0.006809491183396185</v>
      </c>
      <c r="Q9" s="316">
        <v>0.00016611627718983042</v>
      </c>
    </row>
    <row r="10" spans="1:17" ht="12.75">
      <c r="A10" s="20"/>
      <c r="B10" s="598" t="s">
        <v>10</v>
      </c>
      <c r="C10" s="208">
        <f>'TABLE 3'!H9</f>
        <v>13.508618978300001</v>
      </c>
      <c r="D10" s="264">
        <v>124.56942770971429</v>
      </c>
      <c r="E10" s="264">
        <f>'[1]ANNEX C.Table 3'!H7</f>
        <v>2407.9650748396293</v>
      </c>
      <c r="F10" s="264">
        <f>'[1]ANNEX C.Table 3'!F7</f>
        <v>103908.23948681397</v>
      </c>
      <c r="G10" s="264"/>
      <c r="H10" s="324">
        <f>O10*100</f>
        <v>0.5609972968233219</v>
      </c>
      <c r="I10" s="103"/>
      <c r="J10" s="315">
        <v>0.05173224022695205</v>
      </c>
      <c r="K10" s="325">
        <f aca="true" t="shared" si="0" ref="K10:K41">Q10*100</f>
        <v>0.013000527239241942</v>
      </c>
      <c r="L10" s="544"/>
      <c r="O10" s="316">
        <v>0.005609972968233219</v>
      </c>
      <c r="Q10" s="316">
        <v>0.00013000527239241942</v>
      </c>
    </row>
    <row r="11" spans="1:17" ht="12.75">
      <c r="A11" s="20"/>
      <c r="B11" s="598" t="s">
        <v>9</v>
      </c>
      <c r="C11" s="208">
        <f>'TABLE 3'!H10</f>
        <v>173.416823130206</v>
      </c>
      <c r="D11" s="264">
        <v>159.18029197572858</v>
      </c>
      <c r="E11" s="322" t="s">
        <v>19</v>
      </c>
      <c r="F11" s="322" t="s">
        <v>19</v>
      </c>
      <c r="G11" s="322"/>
      <c r="H11" s="184" t="s">
        <v>19</v>
      </c>
      <c r="I11" s="103"/>
      <c r="J11" s="318" t="s">
        <v>19</v>
      </c>
      <c r="K11" s="323" t="s">
        <v>19</v>
      </c>
      <c r="L11" s="544"/>
      <c r="O11" s="317" t="s">
        <v>19</v>
      </c>
      <c r="Q11" s="317" t="s">
        <v>19</v>
      </c>
    </row>
    <row r="12" spans="1:17" ht="14.25">
      <c r="A12" s="20"/>
      <c r="B12" s="598" t="s">
        <v>449</v>
      </c>
      <c r="C12" s="208">
        <f>'TABLE 3'!H11</f>
        <v>0</v>
      </c>
      <c r="D12" s="264">
        <v>0</v>
      </c>
      <c r="E12" s="264">
        <f>'[1]ANNEX C.Table 3'!H8</f>
        <v>7938.185069289227</v>
      </c>
      <c r="F12" s="264">
        <f>'[1]ANNEX C.Table 3'!F8</f>
        <v>823213.6969155119</v>
      </c>
      <c r="G12" s="264"/>
      <c r="H12" s="324">
        <f aca="true" t="shared" si="1" ref="H12:H20">O12*100</f>
        <v>0</v>
      </c>
      <c r="I12" s="103"/>
      <c r="J12" s="315">
        <v>0</v>
      </c>
      <c r="K12" s="325">
        <f t="shared" si="0"/>
        <v>0</v>
      </c>
      <c r="L12" s="544"/>
      <c r="O12" s="316">
        <v>0</v>
      </c>
      <c r="Q12" s="316">
        <v>0</v>
      </c>
    </row>
    <row r="13" spans="1:17" ht="12.75">
      <c r="A13" s="20"/>
      <c r="B13" s="598" t="s">
        <v>20</v>
      </c>
      <c r="C13" s="208">
        <f>'TABLE 3'!H12</f>
        <v>9.413399986647999</v>
      </c>
      <c r="D13" s="264">
        <v>21.787007912085713</v>
      </c>
      <c r="E13" s="264">
        <f>'[1]ANNEX C.Table 3'!H9</f>
        <v>544.7419986936643</v>
      </c>
      <c r="F13" s="264">
        <f>'[1]ANNEX C.Table 3'!F9</f>
        <v>22191.378184193338</v>
      </c>
      <c r="G13" s="264"/>
      <c r="H13" s="324">
        <f t="shared" si="1"/>
        <v>1.7280474076208734</v>
      </c>
      <c r="I13" s="103"/>
      <c r="J13" s="315">
        <v>0.039995094860195715</v>
      </c>
      <c r="K13" s="325">
        <f t="shared" si="0"/>
        <v>0.04241917698177509</v>
      </c>
      <c r="L13" s="544"/>
      <c r="O13" s="316">
        <v>0.017280474076208734</v>
      </c>
      <c r="Q13" s="316">
        <v>0.00042419176981775086</v>
      </c>
    </row>
    <row r="14" spans="1:17" ht="12.75">
      <c r="A14" s="20"/>
      <c r="B14" s="543" t="s">
        <v>101</v>
      </c>
      <c r="C14" s="208">
        <f>'TABLE 3'!H13</f>
        <v>0.24684000000000006</v>
      </c>
      <c r="D14" s="264">
        <v>1.398524428571429</v>
      </c>
      <c r="E14" s="264">
        <f>'[1]ANNEX C.Table 3'!H10</f>
        <v>419.19417629371736</v>
      </c>
      <c r="F14" s="264">
        <f>'[1]ANNEX C.Table 3'!F10</f>
        <v>58918.29466687767</v>
      </c>
      <c r="G14" s="264"/>
      <c r="H14" s="324">
        <f t="shared" si="1"/>
        <v>0.05888440583369325</v>
      </c>
      <c r="I14" s="103"/>
      <c r="J14" s="315">
        <v>0.003336221034691863</v>
      </c>
      <c r="K14" s="325">
        <f t="shared" si="0"/>
        <v>0.0004189530627042522</v>
      </c>
      <c r="L14" s="544"/>
      <c r="O14" s="316">
        <v>0.0005888440583369324</v>
      </c>
      <c r="Q14" s="316">
        <v>4.189530627042522E-06</v>
      </c>
    </row>
    <row r="15" spans="1:17" ht="12.75">
      <c r="A15" s="20"/>
      <c r="B15" s="598" t="s">
        <v>273</v>
      </c>
      <c r="C15" s="208">
        <f>'TABLE 3'!H14</f>
        <v>21.487783697</v>
      </c>
      <c r="D15" s="264">
        <v>10.153376848114288</v>
      </c>
      <c r="E15" s="264">
        <f>'[1]ANNEX C.Table 3'!H12</f>
        <v>18000</v>
      </c>
      <c r="F15" s="264">
        <f>'[1]ANNEX C.Table 3'!F12</f>
        <v>1530660</v>
      </c>
      <c r="G15" s="264"/>
      <c r="H15" s="324">
        <f t="shared" si="1"/>
        <v>0.11937657609444445</v>
      </c>
      <c r="I15" s="103"/>
      <c r="J15" s="315">
        <v>0.0005640764915619048</v>
      </c>
      <c r="K15" s="325">
        <f t="shared" si="0"/>
        <v>0.0014038247355389179</v>
      </c>
      <c r="L15" s="544"/>
      <c r="O15" s="316">
        <v>0.0011937657609444445</v>
      </c>
      <c r="Q15" s="316">
        <v>1.4038247355389179E-05</v>
      </c>
    </row>
    <row r="16" spans="1:17" ht="13.5" thickBot="1">
      <c r="A16" s="20"/>
      <c r="B16" s="592" t="s">
        <v>563</v>
      </c>
      <c r="C16" s="502">
        <f>SUM(C9:C15)</f>
        <v>233.38550270370234</v>
      </c>
      <c r="D16" s="502"/>
      <c r="E16" s="502">
        <f>SUM(E9:E15)</f>
        <v>31558.7178980636</v>
      </c>
      <c r="F16" s="502">
        <f>SUM(F9:F15)</f>
        <v>2631068.2289717067</v>
      </c>
      <c r="G16" s="502"/>
      <c r="H16" s="503">
        <f t="shared" si="1"/>
        <v>0.7395278333471923</v>
      </c>
      <c r="I16" s="504"/>
      <c r="J16" s="505"/>
      <c r="K16" s="506">
        <f t="shared" si="0"/>
        <v>0.00887037060209251</v>
      </c>
      <c r="L16" s="599"/>
      <c r="O16" s="319">
        <v>0.007395278333471923</v>
      </c>
      <c r="Q16" s="319">
        <v>8.870370602092511E-05</v>
      </c>
    </row>
    <row r="17" spans="1:17" ht="15" thickTop="1">
      <c r="A17" s="20"/>
      <c r="B17" s="543" t="s">
        <v>450</v>
      </c>
      <c r="C17" s="208">
        <f>'TABLE 3'!H16</f>
        <v>44.6148487</v>
      </c>
      <c r="D17" s="264">
        <v>26.251537351300005</v>
      </c>
      <c r="E17" s="264">
        <f>'[1]ANNEX C.Table 3'!H13</f>
        <v>1549.8130999999998</v>
      </c>
      <c r="F17" s="264">
        <f>'[1]ANNEX C.Table 3'!F13</f>
        <v>35161.560699999995</v>
      </c>
      <c r="G17" s="264"/>
      <c r="H17" s="324">
        <f t="shared" si="1"/>
        <v>2.8787244539357686</v>
      </c>
      <c r="I17" s="103"/>
      <c r="J17" s="315">
        <v>0.016938518167964902</v>
      </c>
      <c r="K17" s="325">
        <f t="shared" si="0"/>
        <v>0.1268852912436279</v>
      </c>
      <c r="L17" s="544"/>
      <c r="O17" s="316">
        <v>0.028787244539357687</v>
      </c>
      <c r="Q17" s="316">
        <v>0.001268852912436279</v>
      </c>
    </row>
    <row r="18" spans="1:17" ht="14.25">
      <c r="A18" s="20"/>
      <c r="B18" s="598" t="s">
        <v>451</v>
      </c>
      <c r="C18" s="208">
        <f>'TABLE 3'!H17</f>
        <v>28.11700400000001</v>
      </c>
      <c r="D18" s="264">
        <v>43.06865329352857</v>
      </c>
      <c r="E18" s="264">
        <f>'[1]ANNEX C.Table 3'!H15</f>
        <v>1506.4756334324543</v>
      </c>
      <c r="F18" s="264">
        <f>'[1]ANNEX C.Table 3'!F15</f>
        <v>17161.0429824777</v>
      </c>
      <c r="G18" s="264"/>
      <c r="H18" s="324">
        <f t="shared" si="1"/>
        <v>1.8664094775921705</v>
      </c>
      <c r="I18" s="103"/>
      <c r="J18" s="315">
        <v>0.02858901421153297</v>
      </c>
      <c r="K18" s="325">
        <f t="shared" si="0"/>
        <v>0.16384204636459979</v>
      </c>
      <c r="L18" s="544"/>
      <c r="O18" s="316">
        <v>0.018664094775921704</v>
      </c>
      <c r="Q18" s="316">
        <v>0.001638420463645998</v>
      </c>
    </row>
    <row r="19" spans="1:17" ht="12.75">
      <c r="A19" s="20"/>
      <c r="B19" s="598" t="s">
        <v>27</v>
      </c>
      <c r="C19" s="208">
        <f>'TABLE 3'!H18</f>
        <v>14.450328846999998</v>
      </c>
      <c r="D19" s="264">
        <v>14.309788366085721</v>
      </c>
      <c r="E19" s="264">
        <f>'[1]ANNEX C.Table 3'!H16</f>
        <v>3406.730792353012</v>
      </c>
      <c r="F19" s="264">
        <f>'[1]ANNEX C.Table 3'!F16</f>
        <v>38592.492485271134</v>
      </c>
      <c r="G19" s="264"/>
      <c r="H19" s="324">
        <f t="shared" si="1"/>
        <v>0.4241699660987661</v>
      </c>
      <c r="I19" s="103"/>
      <c r="J19" s="315">
        <v>0.004200445893231857</v>
      </c>
      <c r="K19" s="325">
        <f t="shared" si="0"/>
        <v>0.0374433676511435</v>
      </c>
      <c r="L19" s="544"/>
      <c r="O19" s="316">
        <v>0.004241699660987661</v>
      </c>
      <c r="Q19" s="316">
        <v>0.000374433676511435</v>
      </c>
    </row>
    <row r="20" spans="1:17" ht="14.25">
      <c r="A20" s="20"/>
      <c r="B20" s="543" t="s">
        <v>452</v>
      </c>
      <c r="C20" s="208">
        <f>'TABLE 3'!H19</f>
        <v>107.2869115658</v>
      </c>
      <c r="D20" s="264">
        <v>69.74618322452856</v>
      </c>
      <c r="E20" s="264">
        <f>'[1]ANNEX C.Table 3'!H17</f>
        <v>922.4114908513478</v>
      </c>
      <c r="F20" s="264">
        <f>'[1]ANNEX C.Table 3'!F17</f>
        <v>11248.554621242196</v>
      </c>
      <c r="G20" s="264"/>
      <c r="H20" s="324">
        <f t="shared" si="1"/>
        <v>11.631133461572404</v>
      </c>
      <c r="I20" s="103"/>
      <c r="J20" s="315">
        <v>0.07561287333937668</v>
      </c>
      <c r="K20" s="325">
        <f t="shared" si="0"/>
        <v>0.9537839765048154</v>
      </c>
      <c r="L20" s="544"/>
      <c r="O20" s="316">
        <v>0.11631133461572404</v>
      </c>
      <c r="Q20" s="316">
        <v>0.009537839765048154</v>
      </c>
    </row>
    <row r="21" spans="1:17" ht="12.75">
      <c r="A21" s="20"/>
      <c r="B21" s="543" t="s">
        <v>17</v>
      </c>
      <c r="C21" s="208">
        <f>'TABLE 3'!H20</f>
        <v>17.93212</v>
      </c>
      <c r="D21" s="264">
        <v>17.47629433846154</v>
      </c>
      <c r="E21" s="322" t="s">
        <v>19</v>
      </c>
      <c r="F21" s="322" t="s">
        <v>19</v>
      </c>
      <c r="G21" s="322"/>
      <c r="H21" s="184" t="s">
        <v>19</v>
      </c>
      <c r="I21" s="103"/>
      <c r="J21" s="318" t="s">
        <v>19</v>
      </c>
      <c r="K21" s="323" t="s">
        <v>19</v>
      </c>
      <c r="L21" s="544"/>
      <c r="O21" s="317" t="s">
        <v>19</v>
      </c>
      <c r="Q21" s="317" t="s">
        <v>19</v>
      </c>
    </row>
    <row r="22" spans="1:17" ht="14.25">
      <c r="A22" s="20"/>
      <c r="B22" s="598" t="s">
        <v>453</v>
      </c>
      <c r="C22" s="208">
        <f>'TABLE 3'!H21</f>
        <v>12.923202486700001</v>
      </c>
      <c r="D22" s="264">
        <v>18.987153556907696</v>
      </c>
      <c r="E22" s="264">
        <f>'[1]ANNEX C.Table 3'!H17</f>
        <v>922.4114908513478</v>
      </c>
      <c r="F22" s="264">
        <f>'[1]ANNEX C.Table 3'!F17</f>
        <v>11248.554621242196</v>
      </c>
      <c r="G22" s="264"/>
      <c r="H22" s="324">
        <f aca="true" t="shared" si="2" ref="H22:H34">O22*100</f>
        <v>1.4010235794842947</v>
      </c>
      <c r="I22" s="103"/>
      <c r="J22" s="315">
        <v>0.020584255232318643</v>
      </c>
      <c r="K22" s="325">
        <f t="shared" si="0"/>
        <v>0.11488767154399854</v>
      </c>
      <c r="L22" s="544"/>
      <c r="O22" s="316">
        <v>0.014010235794842948</v>
      </c>
      <c r="Q22" s="316">
        <v>0.0011488767154399853</v>
      </c>
    </row>
    <row r="23" spans="1:17" ht="12.75">
      <c r="A23" s="20"/>
      <c r="B23" s="543" t="s">
        <v>92</v>
      </c>
      <c r="C23" s="208">
        <f>'TABLE 3'!H22</f>
        <v>7.6947426</v>
      </c>
      <c r="D23" s="264">
        <v>11.022850753846154</v>
      </c>
      <c r="E23" s="264">
        <f>'[1]ANNEX C.Table 3'!H18</f>
        <v>739.6436358168559</v>
      </c>
      <c r="F23" s="264">
        <f>'[1]ANNEX C.Table 3'!F18</f>
        <v>20146.041651003685</v>
      </c>
      <c r="G23" s="264"/>
      <c r="H23" s="324">
        <f t="shared" si="2"/>
        <v>1.040331076668022</v>
      </c>
      <c r="I23" s="103"/>
      <c r="J23" s="315">
        <v>0.01490292110966738</v>
      </c>
      <c r="K23" s="325">
        <f t="shared" si="0"/>
        <v>0.0381948113346457</v>
      </c>
      <c r="L23" s="544"/>
      <c r="O23" s="316">
        <v>0.01040331076668022</v>
      </c>
      <c r="Q23" s="316">
        <v>0.000381948113346457</v>
      </c>
    </row>
    <row r="24" spans="1:17" ht="14.25">
      <c r="A24" s="20"/>
      <c r="B24" s="543" t="s">
        <v>454</v>
      </c>
      <c r="C24" s="208">
        <f>'TABLE 3'!H23</f>
        <v>2.0720955374999996</v>
      </c>
      <c r="D24" s="264">
        <v>6.0580850322916655</v>
      </c>
      <c r="E24" s="264">
        <f>'[1]ANNEX C.Table 3'!H19</f>
        <v>1835.1002654084339</v>
      </c>
      <c r="F24" s="264">
        <f>'[1]ANNEX C.Table 3'!F19</f>
        <v>18902.229430846357</v>
      </c>
      <c r="G24" s="264"/>
      <c r="H24" s="324">
        <f t="shared" si="2"/>
        <v>0.11291456802436994</v>
      </c>
      <c r="I24" s="103"/>
      <c r="J24" s="315">
        <v>0.003301228356012107</v>
      </c>
      <c r="K24" s="325">
        <f t="shared" si="0"/>
        <v>0.010962175361804508</v>
      </c>
      <c r="L24" s="544"/>
      <c r="O24" s="316">
        <v>0.0011291456802436995</v>
      </c>
      <c r="Q24" s="316">
        <v>0.00010962175361804507</v>
      </c>
    </row>
    <row r="25" spans="1:17" ht="12.75">
      <c r="A25" s="20"/>
      <c r="B25" s="543" t="s">
        <v>274</v>
      </c>
      <c r="C25" s="208">
        <f>'TABLE 3'!H24</f>
        <v>0</v>
      </c>
      <c r="D25" s="264">
        <v>0</v>
      </c>
      <c r="E25" s="323">
        <f>'[1]ANNEX C.Table 3'!F20</f>
        <v>19807.86884398071</v>
      </c>
      <c r="F25" s="322" t="s">
        <v>19</v>
      </c>
      <c r="G25" s="322"/>
      <c r="H25" s="324">
        <f t="shared" si="2"/>
        <v>0</v>
      </c>
      <c r="I25" s="103"/>
      <c r="J25" s="315">
        <v>0</v>
      </c>
      <c r="K25" s="323" t="s">
        <v>19</v>
      </c>
      <c r="L25" s="544"/>
      <c r="N25" s="237"/>
      <c r="O25" s="316">
        <v>0</v>
      </c>
      <c r="Q25" s="317" t="s">
        <v>19</v>
      </c>
    </row>
    <row r="26" spans="1:17" ht="12.75">
      <c r="A26" s="20"/>
      <c r="B26" s="598" t="s">
        <v>30</v>
      </c>
      <c r="C26" s="208">
        <f>'TABLE 3'!H25</f>
        <v>7.6856942</v>
      </c>
      <c r="D26" s="264">
        <v>7.718072657142856</v>
      </c>
      <c r="E26" s="323">
        <f>'[1]ANNEX C.Table 3'!H21</f>
        <v>51.51932315193231</v>
      </c>
      <c r="F26" s="323">
        <f>'[1]ANNEX C.Table 3'!F21</f>
        <v>10916.526851652685</v>
      </c>
      <c r="G26" s="323"/>
      <c r="H26" s="324">
        <f t="shared" si="2"/>
        <v>14.918080692431879</v>
      </c>
      <c r="I26" s="103"/>
      <c r="J26" s="315">
        <v>0.14980927902297914</v>
      </c>
      <c r="K26" s="325">
        <f t="shared" si="0"/>
        <v>0.07040420734948717</v>
      </c>
      <c r="L26" s="544"/>
      <c r="O26" s="316">
        <v>0.1491808069243188</v>
      </c>
      <c r="Q26" s="316">
        <v>0.0007040420734948717</v>
      </c>
    </row>
    <row r="27" spans="1:17" ht="12.75">
      <c r="A27" s="20"/>
      <c r="B27" s="543" t="s">
        <v>24</v>
      </c>
      <c r="C27" s="208">
        <f>'TABLE 3'!H26</f>
        <v>51.2924387505</v>
      </c>
      <c r="D27" s="264">
        <v>37.19982331273846</v>
      </c>
      <c r="E27" s="323">
        <f>'[1]ANNEX C.Table 3'!H22</f>
        <v>12552.586696986924</v>
      </c>
      <c r="F27" s="323">
        <f>'[1]ANNEX C.Table 3'!F22</f>
        <v>51324.6162592382</v>
      </c>
      <c r="G27" s="323"/>
      <c r="H27" s="324">
        <f t="shared" si="2"/>
        <v>0.40862046993718076</v>
      </c>
      <c r="I27" s="103"/>
      <c r="J27" s="315">
        <v>0.0029635185329305687</v>
      </c>
      <c r="K27" s="325">
        <f t="shared" si="0"/>
        <v>0.09993730589513679</v>
      </c>
      <c r="L27" s="544"/>
      <c r="O27" s="316">
        <v>0.004086204699371807</v>
      </c>
      <c r="Q27" s="316">
        <v>0.0009993730589513679</v>
      </c>
    </row>
    <row r="28" spans="1:17" ht="12.75">
      <c r="A28" s="20"/>
      <c r="B28" s="543" t="s">
        <v>32</v>
      </c>
      <c r="C28" s="209">
        <f>'TABLE 3'!H27</f>
        <v>7.2327375</v>
      </c>
      <c r="D28" s="264">
        <v>11.79426417857143</v>
      </c>
      <c r="E28" s="323">
        <f>'[1]ANNEX C.Table 3'!H23</f>
        <v>1407.2790294627382</v>
      </c>
      <c r="F28" s="323">
        <f>'[1]ANNEX C.Table 3'!F23</f>
        <v>27413.344887348354</v>
      </c>
      <c r="G28" s="323"/>
      <c r="H28" s="324">
        <f t="shared" si="2"/>
        <v>0.5139519134852216</v>
      </c>
      <c r="I28" s="103"/>
      <c r="J28" s="315">
        <v>0.008380899545610486</v>
      </c>
      <c r="K28" s="325">
        <f t="shared" si="0"/>
        <v>0.026384002133712663</v>
      </c>
      <c r="L28" s="544"/>
      <c r="O28" s="316">
        <v>0.005139519134852217</v>
      </c>
      <c r="Q28" s="316">
        <v>0.0002638400213371266</v>
      </c>
    </row>
    <row r="29" spans="1:17" ht="13.5" customHeight="1">
      <c r="A29" s="20"/>
      <c r="B29" s="598" t="s">
        <v>61</v>
      </c>
      <c r="C29" s="208">
        <f>'TABLE 3'!H28</f>
        <v>162.7400384192</v>
      </c>
      <c r="D29" s="264">
        <v>104.82268954764285</v>
      </c>
      <c r="E29" s="323">
        <f>'[1]ANNEX C.Table 3'!H24</f>
        <v>6852.975345294953</v>
      </c>
      <c r="F29" s="323">
        <f>'[1]ANNEX C.Table 3'!F24</f>
        <v>108780.172970182</v>
      </c>
      <c r="G29" s="323"/>
      <c r="H29" s="324">
        <f t="shared" si="2"/>
        <v>2.374735501287516</v>
      </c>
      <c r="I29" s="103"/>
      <c r="J29" s="315">
        <v>0.0152959385180936</v>
      </c>
      <c r="K29" s="325">
        <f t="shared" si="0"/>
        <v>0.14960450418093107</v>
      </c>
      <c r="L29" s="544"/>
      <c r="O29" s="316">
        <v>0.023747355012875164</v>
      </c>
      <c r="Q29" s="316">
        <v>0.0014960450418093109</v>
      </c>
    </row>
    <row r="30" spans="1:17" ht="12.75">
      <c r="A30" s="20"/>
      <c r="B30" s="598" t="s">
        <v>21</v>
      </c>
      <c r="C30" s="208">
        <f>'TABLE 3'!H29</f>
        <v>16.390485310400003</v>
      </c>
      <c r="D30" s="264">
        <v>20.352374215384614</v>
      </c>
      <c r="E30" s="264">
        <f>'[1]ANNEX C.Table 3'!H26</f>
        <v>2412.2738001573566</v>
      </c>
      <c r="F30" s="264">
        <f>'[1]ANNEX C.Table 3'!F26</f>
        <v>24550.7474429583</v>
      </c>
      <c r="G30" s="264"/>
      <c r="H30" s="324">
        <f t="shared" si="2"/>
        <v>0.6794620622804436</v>
      </c>
      <c r="I30" s="103"/>
      <c r="J30" s="315">
        <v>0.00843700835869336</v>
      </c>
      <c r="K30" s="325">
        <f t="shared" si="0"/>
        <v>0.06676165501063455</v>
      </c>
      <c r="L30" s="544"/>
      <c r="O30" s="316">
        <v>0.006794620622804436</v>
      </c>
      <c r="Q30" s="316">
        <v>0.0006676165501063455</v>
      </c>
    </row>
    <row r="31" spans="1:17" ht="14.25">
      <c r="A31" s="20"/>
      <c r="B31" s="598" t="s">
        <v>455</v>
      </c>
      <c r="C31" s="208">
        <f>'TABLE 3'!H30</f>
        <v>13.814657095700003</v>
      </c>
      <c r="D31" s="264">
        <v>92.48211019851426</v>
      </c>
      <c r="E31" s="264">
        <f>'[1]ANNEX C.Table 3'!H27</f>
        <v>1415.9093287975925</v>
      </c>
      <c r="F31" s="264">
        <f>'[1]ANNEX C.Table 3'!F27</f>
        <v>35716.99568232369</v>
      </c>
      <c r="G31" s="264"/>
      <c r="H31" s="324">
        <f t="shared" si="2"/>
        <v>0.9756738524656503</v>
      </c>
      <c r="I31" s="103"/>
      <c r="J31" s="315">
        <v>0.0653164071438467</v>
      </c>
      <c r="K31" s="325">
        <f t="shared" si="0"/>
        <v>0.03867810500796645</v>
      </c>
      <c r="L31" s="544"/>
      <c r="O31" s="316">
        <v>0.009756738524656503</v>
      </c>
      <c r="Q31" s="316">
        <v>0.00038678105007966453</v>
      </c>
    </row>
    <row r="32" spans="1:17" ht="14.25">
      <c r="A32" s="20"/>
      <c r="B32" s="598" t="s">
        <v>456</v>
      </c>
      <c r="C32" s="208">
        <f>'TABLE 3'!H31</f>
        <v>16.1026856636</v>
      </c>
      <c r="D32" s="264">
        <v>18.042735246666666</v>
      </c>
      <c r="E32" s="264">
        <f>'[1]ANNEX C.Table 3'!H28</f>
        <v>1213.3782738424136</v>
      </c>
      <c r="F32" s="264">
        <f>'[1]ANNEX C.Table 3'!F28</f>
        <v>6914.218698198696</v>
      </c>
      <c r="G32" s="264"/>
      <c r="H32" s="324">
        <f t="shared" si="2"/>
        <v>1.3270952687002966</v>
      </c>
      <c r="I32" s="103"/>
      <c r="J32" s="315">
        <v>0.014869835430241065</v>
      </c>
      <c r="K32" s="325">
        <f t="shared" si="0"/>
        <v>0.2328923391994398</v>
      </c>
      <c r="L32" s="544"/>
      <c r="O32" s="316">
        <v>0.013270952687002966</v>
      </c>
      <c r="Q32" s="316">
        <v>0.002328923391994398</v>
      </c>
    </row>
    <row r="33" spans="1:17" ht="14.25">
      <c r="A33" s="20"/>
      <c r="B33" s="598" t="s">
        <v>457</v>
      </c>
      <c r="C33" s="208">
        <f>'TABLE 3'!H32</f>
        <v>2.3332168251</v>
      </c>
      <c r="D33" s="264">
        <v>4.924194678649999</v>
      </c>
      <c r="E33" s="264">
        <f>'[1]ANNEX C.Table 3'!H29</f>
        <v>2579.8832116788317</v>
      </c>
      <c r="F33" s="264">
        <f>'[1]ANNEX C.Table 3'!F29</f>
        <v>10267.396525547445</v>
      </c>
      <c r="G33" s="264"/>
      <c r="H33" s="324">
        <f t="shared" si="2"/>
        <v>0.09043885453953103</v>
      </c>
      <c r="I33" s="103"/>
      <c r="J33" s="315">
        <v>0.0019086889888498602</v>
      </c>
      <c r="K33" s="325">
        <f t="shared" si="0"/>
        <v>0.022724522417094394</v>
      </c>
      <c r="L33" s="544"/>
      <c r="O33" s="316">
        <v>0.0009043885453953103</v>
      </c>
      <c r="P33" s="99"/>
      <c r="Q33" s="316">
        <v>0.00022724522417094393</v>
      </c>
    </row>
    <row r="34" spans="1:17" ht="14.25">
      <c r="A34" s="20"/>
      <c r="B34" s="543" t="s">
        <v>458</v>
      </c>
      <c r="C34" s="208">
        <f>'TABLE 3'!H33</f>
        <v>1.8839340000000002</v>
      </c>
      <c r="D34" s="264">
        <v>2.5091957333333332</v>
      </c>
      <c r="E34" s="264">
        <f>'[1]ANNEX C.Table 3'!H30</f>
        <v>103.13943191489362</v>
      </c>
      <c r="F34" s="264">
        <f>'[1]ANNEX C.Table 3'!F30</f>
        <v>827.8451638297872</v>
      </c>
      <c r="G34" s="264"/>
      <c r="H34" s="324">
        <f t="shared" si="2"/>
        <v>1.8265894673092093</v>
      </c>
      <c r="I34" s="103"/>
      <c r="J34" s="315">
        <v>0.02432819036082938</v>
      </c>
      <c r="K34" s="325">
        <f t="shared" si="0"/>
        <v>0.22757081665906245</v>
      </c>
      <c r="L34" s="544"/>
      <c r="O34" s="316">
        <v>0.018265894673092094</v>
      </c>
      <c r="P34" s="99"/>
      <c r="Q34" s="316">
        <v>0.0022757081665906245</v>
      </c>
    </row>
    <row r="35" spans="1:17" ht="14.25">
      <c r="A35" s="20"/>
      <c r="B35" s="543" t="s">
        <v>282</v>
      </c>
      <c r="C35" s="208">
        <f>'TABLE 3'!H34</f>
        <v>8.11908</v>
      </c>
      <c r="D35" s="264">
        <v>8.119080000000004</v>
      </c>
      <c r="E35" s="322">
        <v>1.42</v>
      </c>
      <c r="F35" s="322" t="s">
        <v>277</v>
      </c>
      <c r="G35" s="322"/>
      <c r="H35" s="184" t="s">
        <v>19</v>
      </c>
      <c r="I35" s="103"/>
      <c r="J35" s="318" t="s">
        <v>19</v>
      </c>
      <c r="K35" s="323" t="s">
        <v>19</v>
      </c>
      <c r="L35" s="544"/>
      <c r="O35" s="317" t="s">
        <v>19</v>
      </c>
      <c r="Q35" s="317" t="s">
        <v>19</v>
      </c>
    </row>
    <row r="36" spans="1:17" ht="12.75">
      <c r="A36" s="20"/>
      <c r="B36" s="598" t="s">
        <v>26</v>
      </c>
      <c r="C36" s="208">
        <f>'TABLE 3'!H35</f>
        <v>20.929690146</v>
      </c>
      <c r="D36" s="264">
        <v>26.680067692333335</v>
      </c>
      <c r="E36" s="264">
        <v>3988.937209124895</v>
      </c>
      <c r="F36" s="264">
        <v>15635.919737544824</v>
      </c>
      <c r="G36" s="264"/>
      <c r="H36" s="324">
        <f>O36*100</f>
        <v>0.5246933969810875</v>
      </c>
      <c r="I36" s="103"/>
      <c r="J36" s="315">
        <v>0.0066885153346864755</v>
      </c>
      <c r="K36" s="325">
        <f t="shared" si="0"/>
        <v>0.13385646957334926</v>
      </c>
      <c r="L36" s="544"/>
      <c r="O36" s="316">
        <v>0.005246933969810875</v>
      </c>
      <c r="Q36" s="316">
        <v>0.0013385646957334925</v>
      </c>
    </row>
    <row r="37" spans="1:17" ht="12.75">
      <c r="A37" s="20"/>
      <c r="B37" s="598" t="s">
        <v>275</v>
      </c>
      <c r="C37" s="208">
        <f>'TABLE 3'!H36</f>
        <v>2.528474662</v>
      </c>
      <c r="D37" s="264">
        <v>5.441117648615384</v>
      </c>
      <c r="E37" s="322" t="s">
        <v>19</v>
      </c>
      <c r="F37" s="322" t="s">
        <v>19</v>
      </c>
      <c r="G37" s="322"/>
      <c r="H37" s="184" t="s">
        <v>19</v>
      </c>
      <c r="I37" s="103"/>
      <c r="J37" s="318" t="s">
        <v>19</v>
      </c>
      <c r="K37" s="323" t="s">
        <v>19</v>
      </c>
      <c r="L37" s="544"/>
      <c r="O37" s="317" t="s">
        <v>19</v>
      </c>
      <c r="Q37" s="317" t="s">
        <v>19</v>
      </c>
    </row>
    <row r="38" spans="1:17" ht="12.75">
      <c r="A38" s="20"/>
      <c r="B38" s="543" t="s">
        <v>459</v>
      </c>
      <c r="C38" s="208">
        <f>'TABLE 3'!H37</f>
        <v>67.3732191092</v>
      </c>
      <c r="D38" s="264">
        <v>58.41164520114998</v>
      </c>
      <c r="E38" s="264">
        <v>5012.028582770941</v>
      </c>
      <c r="F38" s="264">
        <v>34493.80706629615</v>
      </c>
      <c r="G38" s="264"/>
      <c r="H38" s="324">
        <f>O38*100</f>
        <v>1.3442305445104257</v>
      </c>
      <c r="I38" s="103"/>
      <c r="J38" s="315">
        <v>0.011654292116757368</v>
      </c>
      <c r="K38" s="325">
        <f t="shared" si="0"/>
        <v>0.19531975400601775</v>
      </c>
      <c r="L38" s="544"/>
      <c r="O38" s="316">
        <v>0.013442305445104257</v>
      </c>
      <c r="Q38" s="316">
        <v>0.0019531975400601774</v>
      </c>
    </row>
    <row r="39" spans="1:17" s="99" customFormat="1" ht="12.75">
      <c r="A39" s="236"/>
      <c r="B39" s="585" t="s">
        <v>276</v>
      </c>
      <c r="C39" s="493"/>
      <c r="D39" s="493"/>
      <c r="E39" s="493"/>
      <c r="F39" s="493"/>
      <c r="G39" s="493"/>
      <c r="H39" s="494"/>
      <c r="I39" s="112"/>
      <c r="J39" s="495"/>
      <c r="K39" s="496"/>
      <c r="L39" s="600"/>
      <c r="M39" s="94"/>
      <c r="N39" s="94"/>
      <c r="O39" s="320"/>
      <c r="P39"/>
      <c r="Q39" s="320"/>
    </row>
    <row r="40" spans="1:17" s="99" customFormat="1" ht="13.5" thickBot="1">
      <c r="A40" s="236"/>
      <c r="B40" s="601" t="s">
        <v>90</v>
      </c>
      <c r="C40" s="497">
        <f>SUM(C17:C39)</f>
        <v>613.5176054187</v>
      </c>
      <c r="D40" s="497"/>
      <c r="E40" s="497">
        <f>SUM(E17:E38)</f>
        <v>68281.78548587764</v>
      </c>
      <c r="F40" s="497">
        <f>SUM(F17:F39)</f>
        <v>479302.06777720334</v>
      </c>
      <c r="G40" s="497"/>
      <c r="H40" s="498">
        <f>O40*100</f>
        <v>0.8985084397735771</v>
      </c>
      <c r="I40" s="499"/>
      <c r="J40" s="500"/>
      <c r="K40" s="501">
        <f t="shared" si="0"/>
        <v>0.12800228637942884</v>
      </c>
      <c r="L40" s="602"/>
      <c r="M40" s="94"/>
      <c r="N40" s="94"/>
      <c r="O40" s="319">
        <v>0.00898508439773577</v>
      </c>
      <c r="P40"/>
      <c r="Q40" s="319">
        <v>0.0012800228637942885</v>
      </c>
    </row>
    <row r="41" spans="1:17" ht="21" customHeight="1" thickTop="1">
      <c r="A41" s="20"/>
      <c r="B41" s="603" t="s">
        <v>40</v>
      </c>
      <c r="C41" s="489">
        <f>SUM(C16,C40)</f>
        <v>846.9031081224023</v>
      </c>
      <c r="D41" s="489">
        <f>SUM(D17:D38)</f>
        <v>605.4179162276931</v>
      </c>
      <c r="E41" s="489">
        <f>SUM(E16,E40)</f>
        <v>99840.50338394125</v>
      </c>
      <c r="F41" s="489">
        <f>SUM(F16,F40)</f>
        <v>3110370.29674891</v>
      </c>
      <c r="G41" s="489"/>
      <c r="H41" s="490">
        <f>O41*100</f>
        <v>0.8482560478141795</v>
      </c>
      <c r="I41" s="190"/>
      <c r="J41" s="491">
        <v>0.006063850799104354</v>
      </c>
      <c r="K41" s="492">
        <f t="shared" si="0"/>
        <v>0.02722836920760274</v>
      </c>
      <c r="L41" s="555"/>
      <c r="O41" s="321">
        <v>0.008482560478141795</v>
      </c>
      <c r="Q41" s="321">
        <v>0.0002722836920760274</v>
      </c>
    </row>
    <row r="42" spans="1:12" ht="12.75">
      <c r="A42" s="20"/>
      <c r="B42" s="303" t="s">
        <v>444</v>
      </c>
      <c r="C42" s="210"/>
      <c r="D42" s="28"/>
      <c r="E42" s="28"/>
      <c r="F42" s="210"/>
      <c r="G42" s="210"/>
      <c r="H42" s="210"/>
      <c r="I42" s="28"/>
      <c r="J42" s="28"/>
      <c r="K42" s="28"/>
      <c r="L42" s="20"/>
    </row>
    <row r="43" spans="1:12" ht="12.75">
      <c r="A43" s="20"/>
      <c r="B43" s="308" t="s">
        <v>440</v>
      </c>
      <c r="C43" s="210"/>
      <c r="D43" s="28"/>
      <c r="E43" s="28"/>
      <c r="F43" s="28"/>
      <c r="G43" s="28"/>
      <c r="H43" s="28"/>
      <c r="I43" s="28"/>
      <c r="J43" s="211" t="s">
        <v>278</v>
      </c>
      <c r="K43" s="28"/>
      <c r="L43" s="20"/>
    </row>
    <row r="44" spans="1:12" ht="12.75">
      <c r="A44" s="20"/>
      <c r="B44" s="308" t="s">
        <v>441</v>
      </c>
      <c r="C44" s="28"/>
      <c r="D44" s="28"/>
      <c r="E44" s="28"/>
      <c r="F44" s="28"/>
      <c r="G44" s="28"/>
      <c r="H44" s="28"/>
      <c r="I44" s="28"/>
      <c r="J44" s="211" t="s">
        <v>279</v>
      </c>
      <c r="K44" s="28"/>
      <c r="L44" s="20"/>
    </row>
    <row r="45" spans="1:12" ht="12.75">
      <c r="A45" s="20"/>
      <c r="B45" s="308" t="s">
        <v>442</v>
      </c>
      <c r="C45" s="28"/>
      <c r="D45" s="28"/>
      <c r="E45" s="28"/>
      <c r="F45" s="28"/>
      <c r="G45" s="28"/>
      <c r="H45" s="28"/>
      <c r="I45" s="28"/>
      <c r="J45" s="211" t="s">
        <v>280</v>
      </c>
      <c r="K45" s="28"/>
      <c r="L45" s="20"/>
    </row>
    <row r="46" spans="1:12" ht="12.75">
      <c r="A46" s="20"/>
      <c r="B46" s="308" t="s">
        <v>443</v>
      </c>
      <c r="C46" s="28"/>
      <c r="D46" s="28"/>
      <c r="E46" s="210"/>
      <c r="F46" s="28"/>
      <c r="G46" s="28"/>
      <c r="H46" s="28"/>
      <c r="I46" s="28"/>
      <c r="J46" s="211" t="s">
        <v>281</v>
      </c>
      <c r="K46" s="28"/>
      <c r="L46" s="20"/>
    </row>
    <row r="47" spans="1:12" ht="12.75">
      <c r="A47" s="20"/>
      <c r="B47" s="210" t="s">
        <v>63</v>
      </c>
      <c r="C47" s="28"/>
      <c r="D47" s="28"/>
      <c r="E47" s="212"/>
      <c r="F47" s="28"/>
      <c r="G47" s="28"/>
      <c r="H47" s="28"/>
      <c r="I47" s="28"/>
      <c r="J47" s="28"/>
      <c r="K47" s="28"/>
      <c r="L47" s="20"/>
    </row>
    <row r="48" spans="1:12" ht="12.75">
      <c r="A48" s="20"/>
      <c r="B48" s="210" t="s">
        <v>64</v>
      </c>
      <c r="C48" s="28"/>
      <c r="D48" s="28"/>
      <c r="E48" s="212"/>
      <c r="F48" s="28"/>
      <c r="G48" s="28"/>
      <c r="H48" s="28"/>
      <c r="I48" s="28"/>
      <c r="J48" s="28"/>
      <c r="K48" s="28"/>
      <c r="L48" s="20"/>
    </row>
    <row r="49" spans="5:11" ht="12.75">
      <c r="E49" s="213"/>
      <c r="F49" s="103"/>
      <c r="G49" s="103"/>
      <c r="H49" s="103"/>
      <c r="I49" s="103"/>
      <c r="J49" s="103"/>
      <c r="K49" s="103"/>
    </row>
    <row r="50" spans="5:11" ht="12.75">
      <c r="E50" s="103"/>
      <c r="F50" s="103"/>
      <c r="G50" s="103"/>
      <c r="H50" s="103"/>
      <c r="I50" s="103"/>
      <c r="J50" s="103"/>
      <c r="K50" s="103"/>
    </row>
    <row r="51" spans="5:11" ht="12.75">
      <c r="E51" s="190"/>
      <c r="F51" s="103"/>
      <c r="G51" s="103"/>
      <c r="H51" s="103"/>
      <c r="I51" s="103"/>
      <c r="J51" s="103"/>
      <c r="K51" s="103"/>
    </row>
    <row r="52" spans="6:11" ht="12.75">
      <c r="F52" s="103"/>
      <c r="G52" s="103"/>
      <c r="H52" s="103"/>
      <c r="I52" s="103"/>
      <c r="J52" s="103"/>
      <c r="K52" s="103"/>
    </row>
    <row r="53" spans="6:11" ht="12.75">
      <c r="F53" s="103"/>
      <c r="G53" s="103"/>
      <c r="H53" s="103"/>
      <c r="I53" s="103"/>
      <c r="J53" s="103"/>
      <c r="K53" s="103"/>
    </row>
    <row r="54" spans="6:11" ht="12.75">
      <c r="F54" s="103"/>
      <c r="G54" s="103"/>
      <c r="H54" s="103"/>
      <c r="I54" s="103"/>
      <c r="J54" s="103"/>
      <c r="K54" s="103"/>
    </row>
  </sheetData>
  <mergeCells count="8">
    <mergeCell ref="K8:L8"/>
    <mergeCell ref="H5:L5"/>
    <mergeCell ref="H6:L6"/>
    <mergeCell ref="H8:I8"/>
    <mergeCell ref="C5:G5"/>
    <mergeCell ref="C6:G6"/>
    <mergeCell ref="C7:G7"/>
    <mergeCell ref="C8:G8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  <headerFooter alignWithMargins="0">
    <oddFooter>&amp;R17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workbookViewId="0" topLeftCell="A50">
      <selection activeCell="B76" sqref="B76"/>
    </sheetView>
  </sheetViews>
  <sheetFormatPr defaultColWidth="9.140625" defaultRowHeight="12.75"/>
  <cols>
    <col min="1" max="1" width="10.7109375" style="0" customWidth="1"/>
    <col min="2" max="2" width="22.140625" style="0" customWidth="1"/>
    <col min="3" max="3" width="8.57421875" style="0" customWidth="1"/>
    <col min="4" max="4" width="5.7109375" style="0" customWidth="1"/>
    <col min="5" max="5" width="8.140625" style="0" customWidth="1"/>
    <col min="6" max="6" width="4.00390625" style="0" customWidth="1"/>
    <col min="7" max="7" width="7.7109375" style="0" customWidth="1"/>
    <col min="8" max="8" width="2.421875" style="0" customWidth="1"/>
    <col min="9" max="9" width="8.28125" style="0" customWidth="1"/>
    <col min="10" max="10" width="3.7109375" style="0" customWidth="1"/>
    <col min="11" max="11" width="11.421875" style="0" customWidth="1"/>
    <col min="12" max="12" width="6.57421875" style="0" customWidth="1"/>
    <col min="13" max="13" width="9.00390625" style="0" customWidth="1"/>
    <col min="14" max="14" width="6.7109375" style="0" customWidth="1"/>
    <col min="15" max="18" width="12.7109375" style="0" customWidth="1"/>
  </cols>
  <sheetData>
    <row r="1" spans="1:14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21"/>
      <c r="B2" s="155" t="s">
        <v>565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7" customFormat="1" ht="12">
      <c r="A3" s="72"/>
      <c r="B3" s="76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81" customFormat="1" ht="15">
      <c r="A4" s="155"/>
      <c r="B4" s="604"/>
      <c r="C4" s="453" t="s">
        <v>73</v>
      </c>
      <c r="D4" s="454"/>
      <c r="E4" s="455" t="s">
        <v>74</v>
      </c>
      <c r="F4" s="455"/>
      <c r="G4" s="453" t="s">
        <v>75</v>
      </c>
      <c r="H4" s="454"/>
      <c r="I4" s="455" t="s">
        <v>76</v>
      </c>
      <c r="J4" s="455"/>
      <c r="K4" s="453" t="s">
        <v>77</v>
      </c>
      <c r="L4" s="454"/>
      <c r="M4" s="455" t="s">
        <v>78</v>
      </c>
      <c r="N4" s="454"/>
    </row>
    <row r="5" spans="1:14" s="81" customFormat="1" ht="15">
      <c r="A5" s="155"/>
      <c r="B5" s="605" t="s">
        <v>60</v>
      </c>
      <c r="C5" s="274"/>
      <c r="D5" s="275"/>
      <c r="E5" s="836" t="s">
        <v>79</v>
      </c>
      <c r="F5" s="836"/>
      <c r="G5" s="274"/>
      <c r="H5" s="275"/>
      <c r="I5" s="273"/>
      <c r="J5" s="273"/>
      <c r="K5" s="837" t="s">
        <v>80</v>
      </c>
      <c r="L5" s="838"/>
      <c r="M5" s="836" t="s">
        <v>81</v>
      </c>
      <c r="N5" s="838"/>
    </row>
    <row r="6" spans="1:14" s="81" customFormat="1" ht="15">
      <c r="A6" s="155"/>
      <c r="B6" s="78"/>
      <c r="C6" s="429"/>
      <c r="D6" s="430"/>
      <c r="E6" s="272"/>
      <c r="F6" s="272"/>
      <c r="G6" s="429"/>
      <c r="H6" s="430"/>
      <c r="I6" s="272"/>
      <c r="J6" s="272"/>
      <c r="K6" s="429"/>
      <c r="L6" s="430"/>
      <c r="M6" s="272"/>
      <c r="N6" s="606"/>
    </row>
    <row r="7" spans="1:14" ht="15">
      <c r="A7" s="21"/>
      <c r="B7" s="78" t="s">
        <v>82</v>
      </c>
      <c r="C7" s="18"/>
      <c r="D7" s="32"/>
      <c r="E7" s="21"/>
      <c r="F7" s="21"/>
      <c r="G7" s="18"/>
      <c r="H7" s="32"/>
      <c r="I7" s="21"/>
      <c r="J7" s="21"/>
      <c r="K7" s="18"/>
      <c r="L7" s="32"/>
      <c r="M7" s="21"/>
      <c r="N7" s="32"/>
    </row>
    <row r="8" spans="1:14" ht="12.75">
      <c r="A8" s="21"/>
      <c r="B8" s="523" t="s">
        <v>12</v>
      </c>
      <c r="C8" s="18"/>
      <c r="D8" s="32"/>
      <c r="E8" s="21"/>
      <c r="F8" s="21"/>
      <c r="G8" s="18"/>
      <c r="H8" s="32"/>
      <c r="I8" s="21"/>
      <c r="J8" s="21"/>
      <c r="K8" s="18"/>
      <c r="L8" s="32"/>
      <c r="M8" s="21"/>
      <c r="N8" s="32"/>
    </row>
    <row r="9" spans="1:14" ht="14.25">
      <c r="A9" s="21"/>
      <c r="B9" s="516" t="s">
        <v>47</v>
      </c>
      <c r="C9" s="509">
        <v>557</v>
      </c>
      <c r="D9" s="511"/>
      <c r="E9" s="234">
        <v>128</v>
      </c>
      <c r="F9" s="234"/>
      <c r="G9" s="509">
        <v>298</v>
      </c>
      <c r="H9" s="511"/>
      <c r="I9" s="234">
        <v>378</v>
      </c>
      <c r="J9" s="234"/>
      <c r="K9" s="206" t="s">
        <v>19</v>
      </c>
      <c r="L9" s="512"/>
      <c r="M9" s="234">
        <v>151</v>
      </c>
      <c r="N9" s="32"/>
    </row>
    <row r="10" spans="1:14" ht="14.25">
      <c r="A10" s="21"/>
      <c r="B10" s="516" t="s">
        <v>46</v>
      </c>
      <c r="C10" s="509">
        <v>727</v>
      </c>
      <c r="D10" s="511"/>
      <c r="E10" s="234">
        <v>121</v>
      </c>
      <c r="F10" s="234"/>
      <c r="G10" s="509">
        <v>208</v>
      </c>
      <c r="H10" s="511"/>
      <c r="I10" s="207" t="s">
        <v>19</v>
      </c>
      <c r="J10" s="207"/>
      <c r="K10" s="206" t="s">
        <v>19</v>
      </c>
      <c r="L10" s="512"/>
      <c r="M10" s="234">
        <v>398</v>
      </c>
      <c r="N10" s="32"/>
    </row>
    <row r="11" spans="1:14" ht="14.25">
      <c r="A11" s="21"/>
      <c r="B11" s="523" t="s">
        <v>83</v>
      </c>
      <c r="C11" s="509"/>
      <c r="D11" s="511"/>
      <c r="E11" s="234"/>
      <c r="F11" s="234"/>
      <c r="G11" s="509"/>
      <c r="H11" s="511"/>
      <c r="I11" s="234"/>
      <c r="J11" s="234"/>
      <c r="K11" s="509"/>
      <c r="L11" s="511"/>
      <c r="M11" s="234"/>
      <c r="N11" s="32"/>
    </row>
    <row r="12" spans="1:14" ht="14.25">
      <c r="A12" s="21"/>
      <c r="B12" s="516" t="s">
        <v>47</v>
      </c>
      <c r="C12" s="509">
        <v>472</v>
      </c>
      <c r="D12" s="511"/>
      <c r="E12" s="234">
        <v>360</v>
      </c>
      <c r="F12" s="234"/>
      <c r="G12" s="509">
        <v>2546</v>
      </c>
      <c r="H12" s="511"/>
      <c r="I12" s="234">
        <v>7504</v>
      </c>
      <c r="J12" s="234"/>
      <c r="K12" s="509">
        <v>24219</v>
      </c>
      <c r="L12" s="511"/>
      <c r="M12" s="234">
        <v>666</v>
      </c>
      <c r="N12" s="32"/>
    </row>
    <row r="13" spans="1:14" ht="14.25">
      <c r="A13" s="21"/>
      <c r="B13" s="516" t="s">
        <v>46</v>
      </c>
      <c r="C13" s="509">
        <v>406</v>
      </c>
      <c r="D13" s="511"/>
      <c r="E13" s="234">
        <v>518</v>
      </c>
      <c r="F13" s="234"/>
      <c r="G13" s="509">
        <v>2351</v>
      </c>
      <c r="H13" s="511"/>
      <c r="I13" s="234">
        <v>7021</v>
      </c>
      <c r="J13" s="234"/>
      <c r="K13" s="509">
        <v>17942</v>
      </c>
      <c r="L13" s="511"/>
      <c r="M13" s="234">
        <v>870</v>
      </c>
      <c r="N13" s="32"/>
    </row>
    <row r="14" spans="1:14" ht="14.25">
      <c r="A14" s="21"/>
      <c r="B14" s="523" t="s">
        <v>84</v>
      </c>
      <c r="C14" s="509"/>
      <c r="D14" s="511"/>
      <c r="E14" s="234"/>
      <c r="F14" s="234"/>
      <c r="G14" s="509"/>
      <c r="H14" s="511"/>
      <c r="I14" s="234"/>
      <c r="J14" s="234"/>
      <c r="K14" s="509"/>
      <c r="L14" s="511"/>
      <c r="M14" s="234"/>
      <c r="N14" s="32"/>
    </row>
    <row r="15" spans="1:14" ht="14.25">
      <c r="A15" s="21"/>
      <c r="B15" s="516" t="s">
        <v>47</v>
      </c>
      <c r="C15" s="509">
        <v>2040</v>
      </c>
      <c r="D15" s="511"/>
      <c r="E15" s="234">
        <v>1380</v>
      </c>
      <c r="F15" s="234"/>
      <c r="G15" s="509">
        <v>2430</v>
      </c>
      <c r="H15" s="511"/>
      <c r="I15" s="234">
        <v>8670</v>
      </c>
      <c r="J15" s="234"/>
      <c r="K15" s="509">
        <v>20740</v>
      </c>
      <c r="L15" s="511"/>
      <c r="M15" s="234">
        <v>160</v>
      </c>
      <c r="N15" s="32"/>
    </row>
    <row r="16" spans="1:14" ht="14.25">
      <c r="A16" s="21"/>
      <c r="B16" s="516" t="s">
        <v>46</v>
      </c>
      <c r="C16" s="509">
        <v>2950</v>
      </c>
      <c r="D16" s="511"/>
      <c r="E16" s="234">
        <v>1460</v>
      </c>
      <c r="F16" s="234"/>
      <c r="G16" s="509">
        <v>560</v>
      </c>
      <c r="H16" s="511"/>
      <c r="I16" s="234">
        <v>8830</v>
      </c>
      <c r="J16" s="234"/>
      <c r="K16" s="509">
        <v>26650</v>
      </c>
      <c r="L16" s="511"/>
      <c r="M16" s="234">
        <v>1970</v>
      </c>
      <c r="N16" s="32"/>
    </row>
    <row r="17" spans="1:14" ht="14.25">
      <c r="A17" s="21"/>
      <c r="B17" s="523" t="s">
        <v>85</v>
      </c>
      <c r="C17" s="509"/>
      <c r="D17" s="511"/>
      <c r="E17" s="234"/>
      <c r="F17" s="234"/>
      <c r="G17" s="509"/>
      <c r="H17" s="511"/>
      <c r="I17" s="234"/>
      <c r="J17" s="234"/>
      <c r="K17" s="509"/>
      <c r="L17" s="511"/>
      <c r="M17" s="234"/>
      <c r="N17" s="32"/>
    </row>
    <row r="18" spans="1:14" ht="14.25">
      <c r="A18" s="21"/>
      <c r="B18" s="516" t="s">
        <v>47</v>
      </c>
      <c r="C18" s="509">
        <v>292</v>
      </c>
      <c r="D18" s="511"/>
      <c r="E18" s="234">
        <v>160</v>
      </c>
      <c r="F18" s="234"/>
      <c r="G18" s="509">
        <v>2620</v>
      </c>
      <c r="H18" s="511"/>
      <c r="I18" s="234">
        <v>1396</v>
      </c>
      <c r="J18" s="234"/>
      <c r="K18" s="509">
        <v>13154</v>
      </c>
      <c r="L18" s="511"/>
      <c r="M18" s="234">
        <v>368</v>
      </c>
      <c r="N18" s="32"/>
    </row>
    <row r="19" spans="1:14" ht="14.25">
      <c r="A19" s="21"/>
      <c r="B19" s="516" t="s">
        <v>46</v>
      </c>
      <c r="C19" s="509">
        <v>627</v>
      </c>
      <c r="D19" s="511"/>
      <c r="E19" s="234">
        <v>455</v>
      </c>
      <c r="F19" s="234"/>
      <c r="G19" s="509">
        <v>4454</v>
      </c>
      <c r="H19" s="511"/>
      <c r="I19" s="234">
        <v>864</v>
      </c>
      <c r="J19" s="234"/>
      <c r="K19" s="509">
        <v>16225</v>
      </c>
      <c r="L19" s="511"/>
      <c r="M19" s="234">
        <v>1113</v>
      </c>
      <c r="N19" s="32"/>
    </row>
    <row r="20" spans="1:14" ht="14.25">
      <c r="A20" s="21"/>
      <c r="B20" s="523" t="s">
        <v>11</v>
      </c>
      <c r="C20" s="509"/>
      <c r="D20" s="511"/>
      <c r="E20" s="234"/>
      <c r="F20" s="234"/>
      <c r="G20" s="509"/>
      <c r="H20" s="511"/>
      <c r="I20" s="234"/>
      <c r="J20" s="234"/>
      <c r="K20" s="509"/>
      <c r="L20" s="511"/>
      <c r="M20" s="234"/>
      <c r="N20" s="32"/>
    </row>
    <row r="21" spans="1:14" ht="14.25">
      <c r="A21" s="21"/>
      <c r="B21" s="516" t="s">
        <v>47</v>
      </c>
      <c r="C21" s="509">
        <v>500</v>
      </c>
      <c r="D21" s="511"/>
      <c r="E21" s="207" t="s">
        <v>19</v>
      </c>
      <c r="F21" s="207"/>
      <c r="G21" s="509">
        <v>310</v>
      </c>
      <c r="H21" s="511"/>
      <c r="I21" s="234">
        <v>300</v>
      </c>
      <c r="J21" s="234"/>
      <c r="K21" s="509">
        <v>24440</v>
      </c>
      <c r="L21" s="511"/>
      <c r="M21" s="234">
        <v>130</v>
      </c>
      <c r="N21" s="32"/>
    </row>
    <row r="22" spans="1:14" ht="14.25">
      <c r="A22" s="21"/>
      <c r="B22" s="516" t="s">
        <v>46</v>
      </c>
      <c r="C22" s="509">
        <v>840</v>
      </c>
      <c r="D22" s="511"/>
      <c r="E22" s="207" t="s">
        <v>19</v>
      </c>
      <c r="F22" s="207"/>
      <c r="G22" s="509">
        <v>460</v>
      </c>
      <c r="H22" s="511"/>
      <c r="I22" s="234">
        <v>2510</v>
      </c>
      <c r="J22" s="234"/>
      <c r="K22" s="509">
        <v>31870</v>
      </c>
      <c r="L22" s="511"/>
      <c r="M22" s="234">
        <v>560</v>
      </c>
      <c r="N22" s="32"/>
    </row>
    <row r="23" spans="1:14" ht="14.25">
      <c r="A23" s="21"/>
      <c r="B23" s="523" t="s">
        <v>86</v>
      </c>
      <c r="C23" s="509"/>
      <c r="D23" s="511"/>
      <c r="E23" s="234"/>
      <c r="F23" s="234"/>
      <c r="G23" s="509"/>
      <c r="H23" s="511"/>
      <c r="I23" s="234"/>
      <c r="J23" s="234"/>
      <c r="K23" s="509"/>
      <c r="L23" s="511"/>
      <c r="M23" s="234"/>
      <c r="N23" s="32"/>
    </row>
    <row r="24" spans="1:14" ht="14.25">
      <c r="A24" s="21"/>
      <c r="B24" s="516" t="s">
        <v>47</v>
      </c>
      <c r="C24" s="509">
        <v>618</v>
      </c>
      <c r="D24" s="511"/>
      <c r="E24" s="234">
        <v>619</v>
      </c>
      <c r="F24" s="234"/>
      <c r="G24" s="509">
        <v>355</v>
      </c>
      <c r="H24" s="511"/>
      <c r="I24" s="207" t="s">
        <v>19</v>
      </c>
      <c r="J24" s="207"/>
      <c r="K24" s="509">
        <v>13241</v>
      </c>
      <c r="L24" s="511"/>
      <c r="M24" s="234">
        <v>467</v>
      </c>
      <c r="N24" s="32"/>
    </row>
    <row r="25" spans="1:14" ht="14.25">
      <c r="A25" s="21"/>
      <c r="B25" s="516" t="s">
        <v>46</v>
      </c>
      <c r="C25" s="509">
        <v>675</v>
      </c>
      <c r="D25" s="511"/>
      <c r="E25" s="234">
        <v>534</v>
      </c>
      <c r="F25" s="234"/>
      <c r="G25" s="509">
        <v>421</v>
      </c>
      <c r="H25" s="511"/>
      <c r="I25" s="234">
        <v>934</v>
      </c>
      <c r="J25" s="234"/>
      <c r="K25" s="509">
        <v>11643</v>
      </c>
      <c r="L25" s="511"/>
      <c r="M25" s="234">
        <v>514</v>
      </c>
      <c r="N25" s="32"/>
    </row>
    <row r="26" spans="1:14" ht="14.25">
      <c r="A26" s="21"/>
      <c r="B26" s="523" t="s">
        <v>87</v>
      </c>
      <c r="C26" s="509"/>
      <c r="D26" s="511"/>
      <c r="E26" s="234"/>
      <c r="F26" s="234"/>
      <c r="G26" s="509"/>
      <c r="H26" s="511"/>
      <c r="I26" s="234"/>
      <c r="J26" s="234"/>
      <c r="K26" s="509"/>
      <c r="L26" s="511"/>
      <c r="M26" s="234"/>
      <c r="N26" s="32"/>
    </row>
    <row r="27" spans="1:14" ht="14.25">
      <c r="A27" s="21"/>
      <c r="B27" s="516" t="s">
        <v>47</v>
      </c>
      <c r="C27" s="509">
        <v>542</v>
      </c>
      <c r="D27" s="511"/>
      <c r="E27" s="234">
        <v>1029</v>
      </c>
      <c r="F27" s="234"/>
      <c r="G27" s="509">
        <v>609</v>
      </c>
      <c r="H27" s="511"/>
      <c r="I27" s="234">
        <v>935</v>
      </c>
      <c r="J27" s="234"/>
      <c r="K27" s="509">
        <v>4283</v>
      </c>
      <c r="L27" s="511"/>
      <c r="M27" s="234">
        <v>218</v>
      </c>
      <c r="N27" s="32"/>
    </row>
    <row r="28" spans="1:14" ht="14.25">
      <c r="A28" s="21"/>
      <c r="B28" s="516" t="s">
        <v>46</v>
      </c>
      <c r="C28" s="509">
        <v>399</v>
      </c>
      <c r="D28" s="511"/>
      <c r="E28" s="234">
        <v>729</v>
      </c>
      <c r="F28" s="234"/>
      <c r="G28" s="509">
        <v>565</v>
      </c>
      <c r="H28" s="511"/>
      <c r="I28" s="207" t="s">
        <v>19</v>
      </c>
      <c r="J28" s="207"/>
      <c r="K28" s="509">
        <v>5689</v>
      </c>
      <c r="L28" s="511"/>
      <c r="M28" s="234">
        <v>767</v>
      </c>
      <c r="N28" s="32"/>
    </row>
    <row r="29" spans="1:14" ht="14.25">
      <c r="A29" s="21"/>
      <c r="B29" s="523" t="s">
        <v>88</v>
      </c>
      <c r="C29" s="509"/>
      <c r="D29" s="511"/>
      <c r="E29" s="234"/>
      <c r="F29" s="234"/>
      <c r="G29" s="509"/>
      <c r="H29" s="511"/>
      <c r="I29" s="234"/>
      <c r="J29" s="234"/>
      <c r="K29" s="509"/>
      <c r="L29" s="511"/>
      <c r="M29" s="234"/>
      <c r="N29" s="32"/>
    </row>
    <row r="30" spans="1:14" ht="14.25">
      <c r="A30" s="21"/>
      <c r="B30" s="516" t="s">
        <v>47</v>
      </c>
      <c r="C30" s="509">
        <v>1530</v>
      </c>
      <c r="D30" s="511"/>
      <c r="E30" s="234">
        <v>1830</v>
      </c>
      <c r="F30" s="234"/>
      <c r="G30" s="509">
        <v>5260</v>
      </c>
      <c r="H30" s="511"/>
      <c r="I30" s="234">
        <v>3890</v>
      </c>
      <c r="J30" s="234"/>
      <c r="K30" s="509">
        <v>14010</v>
      </c>
      <c r="L30" s="511"/>
      <c r="M30" s="234">
        <v>3400</v>
      </c>
      <c r="N30" s="32"/>
    </row>
    <row r="31" spans="1:14" ht="14.25">
      <c r="A31" s="21"/>
      <c r="B31" s="516" t="s">
        <v>46</v>
      </c>
      <c r="C31" s="509">
        <v>1920</v>
      </c>
      <c r="D31" s="511"/>
      <c r="E31" s="234">
        <v>1720</v>
      </c>
      <c r="F31" s="234"/>
      <c r="G31" s="206" t="s">
        <v>19</v>
      </c>
      <c r="H31" s="512"/>
      <c r="I31" s="234">
        <v>740</v>
      </c>
      <c r="J31" s="234"/>
      <c r="K31" s="509">
        <v>7060</v>
      </c>
      <c r="L31" s="511"/>
      <c r="M31" s="234">
        <v>1560</v>
      </c>
      <c r="N31" s="32"/>
    </row>
    <row r="32" spans="1:14" ht="14.25">
      <c r="A32" s="21"/>
      <c r="B32" s="523" t="s">
        <v>539</v>
      </c>
      <c r="C32" s="509"/>
      <c r="D32" s="511"/>
      <c r="E32" s="234"/>
      <c r="F32" s="234"/>
      <c r="G32" s="509"/>
      <c r="H32" s="511"/>
      <c r="I32" s="234"/>
      <c r="J32" s="234"/>
      <c r="K32" s="509"/>
      <c r="L32" s="511"/>
      <c r="M32" s="234"/>
      <c r="N32" s="32"/>
    </row>
    <row r="33" spans="1:14" ht="14.25">
      <c r="A33" s="21"/>
      <c r="B33" s="516" t="s">
        <v>47</v>
      </c>
      <c r="C33" s="509">
        <v>3140</v>
      </c>
      <c r="D33" s="511"/>
      <c r="E33" s="207" t="s">
        <v>19</v>
      </c>
      <c r="F33" s="207"/>
      <c r="G33" s="509">
        <v>6100</v>
      </c>
      <c r="H33" s="511"/>
      <c r="I33" s="234">
        <v>1390</v>
      </c>
      <c r="J33" s="234"/>
      <c r="K33" s="509">
        <v>30550</v>
      </c>
      <c r="L33" s="511"/>
      <c r="M33" s="234">
        <v>2260</v>
      </c>
      <c r="N33" s="32"/>
    </row>
    <row r="34" spans="1:14" ht="14.25">
      <c r="A34" s="21"/>
      <c r="B34" s="516" t="s">
        <v>46</v>
      </c>
      <c r="C34" s="509">
        <v>7280</v>
      </c>
      <c r="D34" s="511"/>
      <c r="E34" s="207" t="s">
        <v>19</v>
      </c>
      <c r="F34" s="207"/>
      <c r="G34" s="509">
        <v>1710</v>
      </c>
      <c r="H34" s="511"/>
      <c r="I34" s="234">
        <v>4470</v>
      </c>
      <c r="J34" s="234"/>
      <c r="K34" s="509">
        <v>17680</v>
      </c>
      <c r="L34" s="511"/>
      <c r="M34" s="234">
        <v>160</v>
      </c>
      <c r="N34" s="32"/>
    </row>
    <row r="35" spans="1:14" ht="15">
      <c r="A35" s="21"/>
      <c r="B35" s="607" t="s">
        <v>89</v>
      </c>
      <c r="C35" s="509"/>
      <c r="D35" s="511"/>
      <c r="E35" s="234"/>
      <c r="F35" s="234"/>
      <c r="G35" s="509"/>
      <c r="H35" s="511"/>
      <c r="I35" s="234"/>
      <c r="J35" s="234"/>
      <c r="K35" s="509"/>
      <c r="L35" s="511"/>
      <c r="M35" s="234"/>
      <c r="N35" s="32"/>
    </row>
    <row r="36" spans="1:14" ht="15">
      <c r="A36" s="21"/>
      <c r="B36" s="608" t="s">
        <v>90</v>
      </c>
      <c r="C36" s="509"/>
      <c r="D36" s="511"/>
      <c r="E36" s="234"/>
      <c r="F36" s="234"/>
      <c r="G36" s="509"/>
      <c r="H36" s="511"/>
      <c r="I36" s="234"/>
      <c r="J36" s="234"/>
      <c r="K36" s="509"/>
      <c r="L36" s="511"/>
      <c r="M36" s="234"/>
      <c r="N36" s="32"/>
    </row>
    <row r="37" spans="1:14" ht="14.25">
      <c r="A37" s="21"/>
      <c r="B37" s="523" t="s">
        <v>22</v>
      </c>
      <c r="C37" s="509"/>
      <c r="D37" s="511"/>
      <c r="E37" s="234"/>
      <c r="F37" s="234"/>
      <c r="G37" s="509"/>
      <c r="H37" s="511"/>
      <c r="I37" s="234"/>
      <c r="J37" s="234"/>
      <c r="K37" s="509"/>
      <c r="L37" s="511"/>
      <c r="M37" s="234"/>
      <c r="N37" s="32"/>
    </row>
    <row r="38" spans="1:14" ht="14.25">
      <c r="A38" s="21"/>
      <c r="B38" s="516" t="s">
        <v>47</v>
      </c>
      <c r="C38" s="509">
        <v>333</v>
      </c>
      <c r="D38" s="511"/>
      <c r="E38" s="207" t="s">
        <v>19</v>
      </c>
      <c r="F38" s="207"/>
      <c r="G38" s="509">
        <v>131</v>
      </c>
      <c r="H38" s="511"/>
      <c r="I38" s="207" t="s">
        <v>19</v>
      </c>
      <c r="J38" s="207"/>
      <c r="K38" s="206" t="s">
        <v>19</v>
      </c>
      <c r="L38" s="512"/>
      <c r="M38" s="207" t="s">
        <v>19</v>
      </c>
      <c r="N38" s="32"/>
    </row>
    <row r="39" spans="1:14" ht="14.25">
      <c r="A39" s="21"/>
      <c r="B39" s="516" t="s">
        <v>46</v>
      </c>
      <c r="C39" s="206" t="s">
        <v>19</v>
      </c>
      <c r="D39" s="512"/>
      <c r="E39" s="207" t="s">
        <v>19</v>
      </c>
      <c r="F39" s="207"/>
      <c r="G39" s="509">
        <v>185</v>
      </c>
      <c r="H39" s="511"/>
      <c r="I39" s="207" t="s">
        <v>19</v>
      </c>
      <c r="J39" s="207"/>
      <c r="K39" s="206" t="s">
        <v>19</v>
      </c>
      <c r="L39" s="512"/>
      <c r="M39" s="207" t="s">
        <v>19</v>
      </c>
      <c r="N39" s="32"/>
    </row>
    <row r="40" spans="1:14" ht="14.25">
      <c r="A40" s="21"/>
      <c r="B40" s="523" t="s">
        <v>91</v>
      </c>
      <c r="C40" s="509"/>
      <c r="D40" s="511"/>
      <c r="E40" s="234"/>
      <c r="F40" s="234"/>
      <c r="G40" s="509"/>
      <c r="H40" s="511"/>
      <c r="I40" s="234"/>
      <c r="J40" s="234"/>
      <c r="K40" s="509"/>
      <c r="L40" s="511"/>
      <c r="M40" s="234"/>
      <c r="N40" s="32"/>
    </row>
    <row r="41" spans="1:14" ht="14.25">
      <c r="A41" s="21"/>
      <c r="B41" s="516" t="s">
        <v>47</v>
      </c>
      <c r="C41" s="206" t="s">
        <v>19</v>
      </c>
      <c r="D41" s="512"/>
      <c r="E41" s="234">
        <v>43</v>
      </c>
      <c r="F41" s="234"/>
      <c r="G41" s="509">
        <v>827</v>
      </c>
      <c r="H41" s="511"/>
      <c r="I41" s="234">
        <v>186</v>
      </c>
      <c r="J41" s="234"/>
      <c r="K41" s="206" t="s">
        <v>19</v>
      </c>
      <c r="L41" s="512"/>
      <c r="M41" s="234">
        <v>46</v>
      </c>
      <c r="N41" s="32"/>
    </row>
    <row r="42" spans="1:14" ht="14.25">
      <c r="A42" s="21"/>
      <c r="B42" s="516" t="s">
        <v>46</v>
      </c>
      <c r="C42" s="206" t="s">
        <v>19</v>
      </c>
      <c r="D42" s="512"/>
      <c r="E42" s="234">
        <v>251</v>
      </c>
      <c r="F42" s="234"/>
      <c r="G42" s="509">
        <v>950</v>
      </c>
      <c r="H42" s="511"/>
      <c r="I42" s="207" t="s">
        <v>19</v>
      </c>
      <c r="J42" s="207"/>
      <c r="K42" s="206" t="s">
        <v>19</v>
      </c>
      <c r="L42" s="512"/>
      <c r="M42" s="234">
        <v>256</v>
      </c>
      <c r="N42" s="32"/>
    </row>
    <row r="43" spans="1:14" ht="14.25">
      <c r="A43" s="21"/>
      <c r="B43" s="523" t="s">
        <v>15</v>
      </c>
      <c r="C43" s="509"/>
      <c r="D43" s="511"/>
      <c r="E43" s="234"/>
      <c r="F43" s="234"/>
      <c r="G43" s="509"/>
      <c r="H43" s="511"/>
      <c r="I43" s="234"/>
      <c r="J43" s="234"/>
      <c r="K43" s="509"/>
      <c r="L43" s="511"/>
      <c r="M43" s="234"/>
      <c r="N43" s="32"/>
    </row>
    <row r="44" spans="1:14" ht="14.25">
      <c r="A44" s="21"/>
      <c r="B44" s="516" t="s">
        <v>47</v>
      </c>
      <c r="C44" s="509">
        <v>756</v>
      </c>
      <c r="D44" s="511"/>
      <c r="E44" s="207" t="s">
        <v>19</v>
      </c>
      <c r="F44" s="207"/>
      <c r="G44" s="206" t="s">
        <v>19</v>
      </c>
      <c r="H44" s="512"/>
      <c r="I44" s="234">
        <v>1852</v>
      </c>
      <c r="J44" s="234"/>
      <c r="K44" s="509">
        <v>3740</v>
      </c>
      <c r="L44" s="511"/>
      <c r="M44" s="207" t="s">
        <v>19</v>
      </c>
      <c r="N44" s="32"/>
    </row>
    <row r="45" spans="1:14" ht="14.25">
      <c r="A45" s="21"/>
      <c r="B45" s="516" t="s">
        <v>46</v>
      </c>
      <c r="C45" s="509">
        <v>217</v>
      </c>
      <c r="D45" s="511"/>
      <c r="E45" s="207" t="s">
        <v>19</v>
      </c>
      <c r="F45" s="207"/>
      <c r="G45" s="206" t="s">
        <v>19</v>
      </c>
      <c r="H45" s="512"/>
      <c r="I45" s="234">
        <v>4273</v>
      </c>
      <c r="J45" s="234"/>
      <c r="K45" s="509">
        <v>6930</v>
      </c>
      <c r="L45" s="511"/>
      <c r="M45" s="207" t="s">
        <v>19</v>
      </c>
      <c r="N45" s="32"/>
    </row>
    <row r="46" spans="1:14" ht="14.25">
      <c r="A46" s="21"/>
      <c r="B46" s="523" t="s">
        <v>92</v>
      </c>
      <c r="C46" s="509"/>
      <c r="D46" s="511"/>
      <c r="E46" s="234"/>
      <c r="F46" s="234"/>
      <c r="G46" s="509"/>
      <c r="H46" s="511"/>
      <c r="I46" s="234"/>
      <c r="J46" s="234"/>
      <c r="K46" s="509"/>
      <c r="L46" s="511"/>
      <c r="M46" s="234"/>
      <c r="N46" s="32"/>
    </row>
    <row r="47" spans="1:14" ht="14.25">
      <c r="A47" s="21"/>
      <c r="B47" s="516" t="s">
        <v>47</v>
      </c>
      <c r="C47" s="509">
        <v>292</v>
      </c>
      <c r="D47" s="511"/>
      <c r="E47" s="234">
        <v>5</v>
      </c>
      <c r="F47" s="234"/>
      <c r="G47" s="206" t="s">
        <v>19</v>
      </c>
      <c r="H47" s="512"/>
      <c r="I47" s="207" t="s">
        <v>19</v>
      </c>
      <c r="J47" s="207"/>
      <c r="K47" s="206" t="s">
        <v>19</v>
      </c>
      <c r="L47" s="512"/>
      <c r="M47" s="234">
        <v>74</v>
      </c>
      <c r="N47" s="32"/>
    </row>
    <row r="48" spans="1:14" ht="14.25">
      <c r="A48" s="21"/>
      <c r="B48" s="516" t="s">
        <v>46</v>
      </c>
      <c r="C48" s="509">
        <v>256</v>
      </c>
      <c r="D48" s="511"/>
      <c r="E48" s="234">
        <v>11</v>
      </c>
      <c r="F48" s="234"/>
      <c r="G48" s="509">
        <v>141</v>
      </c>
      <c r="H48" s="511"/>
      <c r="I48" s="207" t="s">
        <v>19</v>
      </c>
      <c r="J48" s="207"/>
      <c r="K48" s="206" t="s">
        <v>19</v>
      </c>
      <c r="L48" s="512"/>
      <c r="M48" s="234">
        <v>126</v>
      </c>
      <c r="N48" s="32"/>
    </row>
    <row r="49" spans="1:14" ht="14.25">
      <c r="A49" s="21"/>
      <c r="B49" s="523" t="s">
        <v>24</v>
      </c>
      <c r="C49" s="509"/>
      <c r="D49" s="511"/>
      <c r="E49" s="234"/>
      <c r="F49" s="234"/>
      <c r="G49" s="509"/>
      <c r="H49" s="511"/>
      <c r="I49" s="234"/>
      <c r="J49" s="234"/>
      <c r="K49" s="509"/>
      <c r="L49" s="511"/>
      <c r="M49" s="234"/>
      <c r="N49" s="32"/>
    </row>
    <row r="50" spans="1:14" ht="14.25">
      <c r="A50" s="21"/>
      <c r="B50" s="516" t="s">
        <v>47</v>
      </c>
      <c r="C50" s="206" t="s">
        <v>19</v>
      </c>
      <c r="D50" s="512"/>
      <c r="E50" s="207" t="s">
        <v>19</v>
      </c>
      <c r="F50" s="207"/>
      <c r="G50" s="206" t="s">
        <v>19</v>
      </c>
      <c r="H50" s="512"/>
      <c r="I50" s="234"/>
      <c r="J50" s="234"/>
      <c r="K50" s="206" t="s">
        <v>19</v>
      </c>
      <c r="L50" s="512"/>
      <c r="M50" s="207" t="s">
        <v>19</v>
      </c>
      <c r="N50" s="32"/>
    </row>
    <row r="51" spans="1:14" ht="14.25">
      <c r="A51" s="21"/>
      <c r="B51" s="516" t="s">
        <v>46</v>
      </c>
      <c r="C51" s="206" t="s">
        <v>19</v>
      </c>
      <c r="D51" s="512"/>
      <c r="E51" s="207" t="s">
        <v>19</v>
      </c>
      <c r="F51" s="207"/>
      <c r="G51" s="206" t="s">
        <v>19</v>
      </c>
      <c r="H51" s="512"/>
      <c r="I51" s="234">
        <v>559</v>
      </c>
      <c r="J51" s="234"/>
      <c r="K51" s="206" t="s">
        <v>19</v>
      </c>
      <c r="L51" s="512"/>
      <c r="M51" s="207" t="s">
        <v>19</v>
      </c>
      <c r="N51" s="32"/>
    </row>
    <row r="52" spans="1:14" ht="14.25">
      <c r="A52" s="21"/>
      <c r="B52" s="523" t="s">
        <v>93</v>
      </c>
      <c r="C52" s="509"/>
      <c r="D52" s="511"/>
      <c r="E52" s="234"/>
      <c r="F52" s="234"/>
      <c r="G52" s="509"/>
      <c r="H52" s="511"/>
      <c r="I52" s="234"/>
      <c r="J52" s="234"/>
      <c r="K52" s="509"/>
      <c r="L52" s="511"/>
      <c r="M52" s="234"/>
      <c r="N52" s="32"/>
    </row>
    <row r="53" spans="1:14" ht="14.25">
      <c r="A53" s="21"/>
      <c r="B53" s="516" t="s">
        <v>47</v>
      </c>
      <c r="C53" s="206" t="s">
        <v>19</v>
      </c>
      <c r="D53" s="512"/>
      <c r="E53" s="234">
        <v>5</v>
      </c>
      <c r="F53" s="234"/>
      <c r="G53" s="509">
        <v>105</v>
      </c>
      <c r="H53" s="511"/>
      <c r="I53" s="234">
        <v>538</v>
      </c>
      <c r="J53" s="234"/>
      <c r="K53" s="509">
        <v>7665</v>
      </c>
      <c r="L53" s="511"/>
      <c r="M53" s="207" t="s">
        <v>19</v>
      </c>
      <c r="N53" s="32"/>
    </row>
    <row r="54" spans="1:14" ht="14.25">
      <c r="A54" s="21"/>
      <c r="B54" s="516" t="s">
        <v>46</v>
      </c>
      <c r="C54" s="509">
        <v>212</v>
      </c>
      <c r="D54" s="511"/>
      <c r="E54" s="234">
        <v>94</v>
      </c>
      <c r="F54" s="234"/>
      <c r="G54" s="206" t="s">
        <v>19</v>
      </c>
      <c r="H54" s="512"/>
      <c r="I54" s="234">
        <v>824</v>
      </c>
      <c r="J54" s="234"/>
      <c r="K54" s="509">
        <v>6835</v>
      </c>
      <c r="L54" s="511"/>
      <c r="M54" s="234">
        <v>98</v>
      </c>
      <c r="N54" s="32"/>
    </row>
    <row r="55" spans="1:14" ht="14.25">
      <c r="A55" s="21"/>
      <c r="B55" s="523" t="s">
        <v>18</v>
      </c>
      <c r="C55" s="509"/>
      <c r="D55" s="511"/>
      <c r="E55" s="234"/>
      <c r="F55" s="234"/>
      <c r="G55" s="509"/>
      <c r="H55" s="511"/>
      <c r="I55" s="234"/>
      <c r="J55" s="234"/>
      <c r="K55" s="509"/>
      <c r="L55" s="511"/>
      <c r="M55" s="234"/>
      <c r="N55" s="32"/>
    </row>
    <row r="56" spans="1:14" ht="14.25">
      <c r="A56" s="21"/>
      <c r="B56" s="516" t="s">
        <v>47</v>
      </c>
      <c r="C56" s="509">
        <v>302</v>
      </c>
      <c r="D56" s="511"/>
      <c r="E56" s="234">
        <v>12</v>
      </c>
      <c r="F56" s="234"/>
      <c r="G56" s="509">
        <v>145</v>
      </c>
      <c r="H56" s="511"/>
      <c r="I56" s="234">
        <v>738</v>
      </c>
      <c r="J56" s="234"/>
      <c r="K56" s="206" t="s">
        <v>19</v>
      </c>
      <c r="L56" s="512"/>
      <c r="M56" s="234">
        <v>27</v>
      </c>
      <c r="N56" s="32"/>
    </row>
    <row r="57" spans="1:14" ht="14.25">
      <c r="A57" s="21"/>
      <c r="B57" s="516" t="s">
        <v>46</v>
      </c>
      <c r="C57" s="509">
        <v>195</v>
      </c>
      <c r="D57" s="511"/>
      <c r="E57" s="234">
        <v>58</v>
      </c>
      <c r="F57" s="234"/>
      <c r="G57" s="509">
        <v>228</v>
      </c>
      <c r="H57" s="511"/>
      <c r="I57" s="234">
        <v>727</v>
      </c>
      <c r="J57" s="234"/>
      <c r="K57" s="206" t="s">
        <v>19</v>
      </c>
      <c r="L57" s="512"/>
      <c r="M57" s="234">
        <v>26</v>
      </c>
      <c r="N57" s="32"/>
    </row>
    <row r="58" spans="1:14" ht="14.25">
      <c r="A58" s="21"/>
      <c r="B58" s="523" t="s">
        <v>28</v>
      </c>
      <c r="C58" s="509"/>
      <c r="D58" s="511"/>
      <c r="E58" s="234"/>
      <c r="F58" s="234"/>
      <c r="G58" s="509"/>
      <c r="H58" s="511"/>
      <c r="I58" s="234"/>
      <c r="J58" s="234"/>
      <c r="K58" s="509"/>
      <c r="L58" s="511"/>
      <c r="M58" s="234"/>
      <c r="N58" s="32"/>
    </row>
    <row r="59" spans="1:14" ht="14.25">
      <c r="A59" s="21"/>
      <c r="B59" s="516" t="s">
        <v>47</v>
      </c>
      <c r="C59" s="206" t="s">
        <v>19</v>
      </c>
      <c r="D59" s="512"/>
      <c r="E59" s="207" t="s">
        <v>19</v>
      </c>
      <c r="F59" s="207"/>
      <c r="G59" s="509">
        <v>201</v>
      </c>
      <c r="H59" s="511"/>
      <c r="I59" s="207" t="s">
        <v>19</v>
      </c>
      <c r="J59" s="207"/>
      <c r="K59" s="206" t="s">
        <v>19</v>
      </c>
      <c r="L59" s="512"/>
      <c r="M59" s="234">
        <v>2282</v>
      </c>
      <c r="N59" s="32"/>
    </row>
    <row r="60" spans="1:14" ht="14.25">
      <c r="A60" s="21"/>
      <c r="B60" s="516" t="s">
        <v>46</v>
      </c>
      <c r="C60" s="206" t="s">
        <v>19</v>
      </c>
      <c r="D60" s="512"/>
      <c r="E60" s="207" t="s">
        <v>19</v>
      </c>
      <c r="F60" s="207"/>
      <c r="G60" s="509">
        <v>350</v>
      </c>
      <c r="H60" s="511"/>
      <c r="I60" s="207" t="s">
        <v>19</v>
      </c>
      <c r="J60" s="207"/>
      <c r="K60" s="206" t="s">
        <v>19</v>
      </c>
      <c r="L60" s="512"/>
      <c r="M60" s="234">
        <v>1378</v>
      </c>
      <c r="N60" s="32"/>
    </row>
    <row r="61" spans="1:14" ht="14.25">
      <c r="A61" s="21"/>
      <c r="B61" s="523" t="s">
        <v>14</v>
      </c>
      <c r="C61" s="509"/>
      <c r="D61" s="511"/>
      <c r="E61" s="234"/>
      <c r="F61" s="234"/>
      <c r="G61" s="509"/>
      <c r="H61" s="511"/>
      <c r="I61" s="234"/>
      <c r="J61" s="234"/>
      <c r="K61" s="509"/>
      <c r="L61" s="511"/>
      <c r="M61" s="234"/>
      <c r="N61" s="32"/>
    </row>
    <row r="62" spans="1:14" ht="14.25">
      <c r="A62" s="21"/>
      <c r="B62" s="516" t="s">
        <v>47</v>
      </c>
      <c r="C62" s="206" t="s">
        <v>19</v>
      </c>
      <c r="D62" s="512"/>
      <c r="E62" s="207" t="s">
        <v>19</v>
      </c>
      <c r="F62" s="207"/>
      <c r="G62" s="206" t="s">
        <v>19</v>
      </c>
      <c r="H62" s="512"/>
      <c r="I62" s="234">
        <v>390</v>
      </c>
      <c r="J62" s="234"/>
      <c r="K62" s="509">
        <v>15644</v>
      </c>
      <c r="L62" s="511"/>
      <c r="M62" s="207" t="s">
        <v>19</v>
      </c>
      <c r="N62" s="32"/>
    </row>
    <row r="63" spans="1:14" ht="14.25">
      <c r="A63" s="21"/>
      <c r="B63" s="516" t="s">
        <v>46</v>
      </c>
      <c r="C63" s="206" t="s">
        <v>19</v>
      </c>
      <c r="D63" s="512"/>
      <c r="E63" s="207" t="s">
        <v>19</v>
      </c>
      <c r="F63" s="207"/>
      <c r="G63" s="206" t="s">
        <v>19</v>
      </c>
      <c r="H63" s="512"/>
      <c r="I63" s="234">
        <v>972</v>
      </c>
      <c r="J63" s="234"/>
      <c r="K63" s="509">
        <v>5530</v>
      </c>
      <c r="L63" s="511"/>
      <c r="M63" s="207" t="s">
        <v>19</v>
      </c>
      <c r="N63" s="32"/>
    </row>
    <row r="64" spans="1:14" ht="14.25">
      <c r="A64" s="21"/>
      <c r="B64" s="523" t="s">
        <v>94</v>
      </c>
      <c r="C64" s="509"/>
      <c r="D64" s="511"/>
      <c r="E64" s="234"/>
      <c r="F64" s="234"/>
      <c r="G64" s="509"/>
      <c r="H64" s="511"/>
      <c r="I64" s="234"/>
      <c r="J64" s="234"/>
      <c r="K64" s="509"/>
      <c r="L64" s="511"/>
      <c r="M64" s="234"/>
      <c r="N64" s="32"/>
    </row>
    <row r="65" spans="1:14" ht="14.25">
      <c r="A65" s="21"/>
      <c r="B65" s="516" t="s">
        <v>47</v>
      </c>
      <c r="C65" s="206" t="s">
        <v>19</v>
      </c>
      <c r="D65" s="512"/>
      <c r="E65" s="207" t="s">
        <v>19</v>
      </c>
      <c r="F65" s="207"/>
      <c r="G65" s="206" t="s">
        <v>19</v>
      </c>
      <c r="H65" s="512"/>
      <c r="I65" s="234">
        <v>439</v>
      </c>
      <c r="J65" s="234"/>
      <c r="K65" s="206" t="s">
        <v>19</v>
      </c>
      <c r="L65" s="512"/>
      <c r="M65" s="207" t="s">
        <v>19</v>
      </c>
      <c r="N65" s="32"/>
    </row>
    <row r="66" spans="1:14" ht="14.25">
      <c r="A66" s="21"/>
      <c r="B66" s="516" t="s">
        <v>46</v>
      </c>
      <c r="C66" s="206" t="s">
        <v>19</v>
      </c>
      <c r="D66" s="512"/>
      <c r="E66" s="207" t="s">
        <v>19</v>
      </c>
      <c r="F66" s="207"/>
      <c r="G66" s="206" t="s">
        <v>19</v>
      </c>
      <c r="H66" s="512"/>
      <c r="I66" s="234">
        <v>816</v>
      </c>
      <c r="J66" s="234"/>
      <c r="K66" s="206" t="s">
        <v>19</v>
      </c>
      <c r="L66" s="512"/>
      <c r="M66" s="207" t="s">
        <v>19</v>
      </c>
      <c r="N66" s="32"/>
    </row>
    <row r="67" spans="1:14" ht="14.25">
      <c r="A67" s="21"/>
      <c r="B67" s="523" t="s">
        <v>95</v>
      </c>
      <c r="C67" s="509"/>
      <c r="D67" s="511"/>
      <c r="E67" s="234"/>
      <c r="F67" s="234"/>
      <c r="G67" s="509"/>
      <c r="H67" s="511"/>
      <c r="I67" s="234"/>
      <c r="J67" s="234"/>
      <c r="K67" s="509"/>
      <c r="L67" s="511"/>
      <c r="M67" s="234"/>
      <c r="N67" s="32"/>
    </row>
    <row r="68" spans="1:14" ht="14.25">
      <c r="A68" s="21"/>
      <c r="B68" s="516" t="s">
        <v>47</v>
      </c>
      <c r="C68" s="509">
        <v>4813</v>
      </c>
      <c r="D68" s="511"/>
      <c r="E68" s="234">
        <v>1494</v>
      </c>
      <c r="F68" s="234"/>
      <c r="G68" s="509">
        <v>7493</v>
      </c>
      <c r="H68" s="511"/>
      <c r="I68" s="234">
        <v>4526</v>
      </c>
      <c r="J68" s="234"/>
      <c r="K68" s="509">
        <v>89630</v>
      </c>
      <c r="L68" s="511"/>
      <c r="M68" s="234">
        <v>826</v>
      </c>
      <c r="N68" s="32"/>
    </row>
    <row r="69" spans="1:14" ht="15" thickBot="1">
      <c r="A69" s="21"/>
      <c r="B69" s="633" t="s">
        <v>46</v>
      </c>
      <c r="C69" s="654">
        <v>3122</v>
      </c>
      <c r="D69" s="655"/>
      <c r="E69" s="656">
        <v>1399</v>
      </c>
      <c r="F69" s="656"/>
      <c r="G69" s="654">
        <v>62690</v>
      </c>
      <c r="H69" s="655"/>
      <c r="I69" s="656">
        <v>12886</v>
      </c>
      <c r="J69" s="656"/>
      <c r="K69" s="654">
        <v>107176</v>
      </c>
      <c r="L69" s="655"/>
      <c r="M69" s="656">
        <v>1461</v>
      </c>
      <c r="N69" s="609"/>
    </row>
    <row r="70" spans="1:14" ht="15" thickTop="1">
      <c r="A70" s="21"/>
      <c r="B70" s="139" t="s">
        <v>49</v>
      </c>
      <c r="C70" s="509"/>
      <c r="D70" s="511"/>
      <c r="E70" s="234"/>
      <c r="F70" s="234"/>
      <c r="G70" s="509"/>
      <c r="H70" s="511"/>
      <c r="I70" s="234"/>
      <c r="J70" s="234"/>
      <c r="K70" s="509"/>
      <c r="L70" s="511"/>
      <c r="M70" s="234"/>
      <c r="N70" s="32"/>
    </row>
    <row r="71" spans="1:14" ht="12.75">
      <c r="A71" s="21"/>
      <c r="B71" s="356" t="s">
        <v>47</v>
      </c>
      <c r="C71" s="139">
        <v>16702</v>
      </c>
      <c r="D71" s="146"/>
      <c r="E71" s="94">
        <v>7066</v>
      </c>
      <c r="F71" s="94"/>
      <c r="G71" s="139">
        <v>35057</v>
      </c>
      <c r="H71" s="146"/>
      <c r="I71" s="94">
        <v>34000</v>
      </c>
      <c r="J71" s="94"/>
      <c r="K71" s="139">
        <v>267982</v>
      </c>
      <c r="L71" s="146"/>
      <c r="M71" s="94">
        <v>11075</v>
      </c>
      <c r="N71" s="32"/>
    </row>
    <row r="72" spans="1:14" ht="13.5" thickBot="1">
      <c r="A72" s="21"/>
      <c r="B72" s="356" t="s">
        <v>46</v>
      </c>
      <c r="C72" s="139">
        <v>20507</v>
      </c>
      <c r="D72" s="146"/>
      <c r="E72" s="94">
        <v>7350</v>
      </c>
      <c r="F72" s="94"/>
      <c r="G72" s="527">
        <v>18873</v>
      </c>
      <c r="H72" s="610"/>
      <c r="I72" s="98">
        <v>45051</v>
      </c>
      <c r="J72" s="98"/>
      <c r="K72" s="527">
        <v>261230</v>
      </c>
      <c r="L72" s="610"/>
      <c r="M72" s="98">
        <v>11257</v>
      </c>
      <c r="N72" s="35"/>
    </row>
    <row r="73" spans="1:14" ht="14.25">
      <c r="A73" s="21"/>
      <c r="B73" s="91" t="s">
        <v>566</v>
      </c>
      <c r="C73" s="657"/>
      <c r="D73" s="658"/>
      <c r="E73" s="658"/>
      <c r="F73" s="659"/>
      <c r="G73" s="234"/>
      <c r="H73" s="234"/>
      <c r="I73" s="234"/>
      <c r="J73" s="234"/>
      <c r="K73" s="234"/>
      <c r="L73" s="234"/>
      <c r="M73" s="234"/>
      <c r="N73" s="21"/>
    </row>
    <row r="74" spans="1:14" ht="15">
      <c r="A74" s="21"/>
      <c r="B74" s="660" t="s">
        <v>47</v>
      </c>
      <c r="C74" s="139">
        <f>SUM(C71:M71)</f>
        <v>371882</v>
      </c>
      <c r="D74" s="155"/>
      <c r="E74" s="234"/>
      <c r="F74" s="661"/>
      <c r="G74" s="234"/>
      <c r="H74" s="234"/>
      <c r="I74" s="234"/>
      <c r="J74" s="234"/>
      <c r="K74" s="234"/>
      <c r="L74" s="234"/>
      <c r="M74" s="234"/>
      <c r="N74" s="21"/>
    </row>
    <row r="75" spans="1:14" ht="15.75" thickBot="1">
      <c r="A75" s="21"/>
      <c r="B75" s="662" t="s">
        <v>46</v>
      </c>
      <c r="C75" s="510">
        <f>SUM(C72:M72)</f>
        <v>364268</v>
      </c>
      <c r="D75" s="507"/>
      <c r="E75" s="508"/>
      <c r="F75" s="663"/>
      <c r="G75" s="234"/>
      <c r="H75" s="234"/>
      <c r="I75" s="234"/>
      <c r="J75" s="234"/>
      <c r="K75" s="234"/>
      <c r="L75" s="234"/>
      <c r="M75" s="234"/>
      <c r="N75" s="21"/>
    </row>
    <row r="76" spans="1:14" ht="12.75">
      <c r="A76" s="21"/>
      <c r="B76" s="328" t="s">
        <v>582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2.75">
      <c r="A77" s="21"/>
      <c r="B77" s="302" t="s">
        <v>540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2.75">
      <c r="A78" s="21"/>
      <c r="B78" s="70" t="s">
        <v>63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ht="12.75">
      <c r="B79" s="99"/>
    </row>
    <row r="80" ht="12.75">
      <c r="B80" s="99"/>
    </row>
    <row r="81" ht="12.75">
      <c r="B81" s="99"/>
    </row>
    <row r="82" ht="12.75">
      <c r="B82" s="99"/>
    </row>
    <row r="83" ht="12.75">
      <c r="B83" s="99"/>
    </row>
    <row r="84" ht="12.75">
      <c r="B84" s="99"/>
    </row>
    <row r="85" ht="12.75">
      <c r="B85" s="99"/>
    </row>
    <row r="86" ht="12.75">
      <c r="B86" s="99"/>
    </row>
    <row r="87" ht="12.75">
      <c r="B87" s="99"/>
    </row>
    <row r="88" ht="12.75">
      <c r="B88" s="99"/>
    </row>
    <row r="89" ht="12.75">
      <c r="B89" s="99"/>
    </row>
    <row r="90" ht="12.75">
      <c r="B90" s="99"/>
    </row>
    <row r="91" ht="12.75">
      <c r="B91" s="99"/>
    </row>
    <row r="92" ht="12.75">
      <c r="B92" s="99"/>
    </row>
    <row r="93" ht="12.75">
      <c r="B93" s="99"/>
    </row>
    <row r="94" ht="12.75">
      <c r="B94" s="99"/>
    </row>
    <row r="95" ht="12.75">
      <c r="B95" s="99"/>
    </row>
    <row r="96" ht="12.75">
      <c r="B96" s="99"/>
    </row>
    <row r="97" ht="12.75">
      <c r="B97" s="99"/>
    </row>
    <row r="98" ht="12.75">
      <c r="B98" s="99"/>
    </row>
    <row r="99" ht="12.75">
      <c r="B99" s="99"/>
    </row>
    <row r="100" ht="12.75">
      <c r="B100" s="99"/>
    </row>
    <row r="101" ht="12.75">
      <c r="B101" s="99"/>
    </row>
    <row r="102" ht="12.75">
      <c r="B102" s="99"/>
    </row>
    <row r="103" ht="12.75">
      <c r="B103" s="99"/>
    </row>
    <row r="104" ht="12.75">
      <c r="B104" s="99"/>
    </row>
    <row r="105" ht="12.75">
      <c r="B105" s="99"/>
    </row>
    <row r="106" ht="12.75">
      <c r="B106" s="99"/>
    </row>
    <row r="107" ht="12.75">
      <c r="B107" s="99"/>
    </row>
    <row r="108" ht="12.75">
      <c r="B108" s="99"/>
    </row>
    <row r="109" ht="12.75">
      <c r="B109" s="99"/>
    </row>
    <row r="110" ht="12.75">
      <c r="B110" s="99"/>
    </row>
    <row r="111" ht="12.75">
      <c r="B111" s="99"/>
    </row>
    <row r="112" ht="12.75">
      <c r="B112" s="99"/>
    </row>
    <row r="113" ht="12.75">
      <c r="B113" s="99"/>
    </row>
    <row r="114" ht="12.75">
      <c r="B114" s="99"/>
    </row>
    <row r="115" ht="12.75">
      <c r="B115" s="99"/>
    </row>
    <row r="116" ht="12.75">
      <c r="B116" s="99"/>
    </row>
    <row r="117" ht="12.75">
      <c r="B117" s="99"/>
    </row>
    <row r="118" ht="12.75">
      <c r="B118" s="99"/>
    </row>
    <row r="119" ht="12.75">
      <c r="B119" s="99"/>
    </row>
    <row r="120" ht="12.75">
      <c r="B120" s="99"/>
    </row>
    <row r="121" ht="12.75">
      <c r="B121" s="99"/>
    </row>
    <row r="122" ht="12.75">
      <c r="B122" s="99"/>
    </row>
    <row r="123" ht="12.75">
      <c r="B123" s="99"/>
    </row>
    <row r="124" ht="12.75">
      <c r="B124" s="99"/>
    </row>
    <row r="125" ht="12.75">
      <c r="B125" s="99"/>
    </row>
    <row r="126" ht="12.75">
      <c r="B126" s="99"/>
    </row>
    <row r="127" ht="12.75">
      <c r="B127" s="99"/>
    </row>
    <row r="128" ht="12.75">
      <c r="B128" s="99"/>
    </row>
    <row r="129" ht="12.75">
      <c r="B129" s="99"/>
    </row>
    <row r="130" ht="12.75">
      <c r="B130" s="99"/>
    </row>
    <row r="131" ht="12.75">
      <c r="B131" s="99"/>
    </row>
    <row r="132" ht="12.75">
      <c r="B132" s="99"/>
    </row>
    <row r="133" ht="12.75">
      <c r="B133" s="99"/>
    </row>
    <row r="134" ht="12.75">
      <c r="B134" s="99"/>
    </row>
    <row r="135" ht="12.75">
      <c r="B135" s="99"/>
    </row>
    <row r="136" ht="12.75">
      <c r="B136" s="99"/>
    </row>
    <row r="137" ht="12.75">
      <c r="B137" s="99"/>
    </row>
    <row r="138" ht="12.75">
      <c r="B138" s="99"/>
    </row>
    <row r="139" ht="12.75">
      <c r="B139" s="99"/>
    </row>
    <row r="140" ht="12.75">
      <c r="B140" s="99"/>
    </row>
    <row r="141" ht="12.75">
      <c r="B141" s="99"/>
    </row>
    <row r="142" ht="12.75">
      <c r="B142" s="99"/>
    </row>
    <row r="143" ht="12.75">
      <c r="B143" s="99"/>
    </row>
    <row r="144" ht="12.75">
      <c r="B144" s="99"/>
    </row>
    <row r="145" ht="12.75">
      <c r="B145" s="99"/>
    </row>
    <row r="146" ht="12.75">
      <c r="B146" s="99"/>
    </row>
    <row r="147" ht="12.75">
      <c r="B147" s="99"/>
    </row>
    <row r="148" ht="12.75">
      <c r="B148" s="99"/>
    </row>
    <row r="149" ht="12.75">
      <c r="B149" s="99"/>
    </row>
    <row r="150" ht="12.75">
      <c r="B150" s="99"/>
    </row>
    <row r="151" ht="12.75">
      <c r="B151" s="99"/>
    </row>
    <row r="152" ht="12.75">
      <c r="B152" s="99"/>
    </row>
    <row r="153" ht="12.75">
      <c r="B153" s="99"/>
    </row>
    <row r="154" ht="12.75">
      <c r="B154" s="99"/>
    </row>
    <row r="155" ht="12.75">
      <c r="B155" s="99"/>
    </row>
    <row r="156" ht="12.75">
      <c r="B156" s="99"/>
    </row>
    <row r="157" ht="12.75">
      <c r="B157" s="99"/>
    </row>
    <row r="158" ht="12.75">
      <c r="B158" s="99"/>
    </row>
    <row r="159" ht="12.75">
      <c r="B159" s="99"/>
    </row>
    <row r="160" ht="12.75">
      <c r="B160" s="99"/>
    </row>
    <row r="161" ht="12.75">
      <c r="B161" s="99"/>
    </row>
    <row r="162" ht="12.75">
      <c r="B162" s="99"/>
    </row>
    <row r="163" ht="12.75">
      <c r="B163" s="99"/>
    </row>
    <row r="164" ht="12.75">
      <c r="B164" s="99"/>
    </row>
    <row r="165" ht="12.75">
      <c r="B165" s="99"/>
    </row>
    <row r="166" ht="12.75">
      <c r="B166" s="99"/>
    </row>
    <row r="167" ht="12.75">
      <c r="B167" s="99"/>
    </row>
    <row r="168" ht="12.75">
      <c r="B168" s="99"/>
    </row>
    <row r="169" ht="12.75">
      <c r="B169" s="99"/>
    </row>
    <row r="170" ht="12.75">
      <c r="B170" s="99"/>
    </row>
    <row r="171" ht="12.75">
      <c r="B171" s="99"/>
    </row>
    <row r="172" ht="12.75">
      <c r="B172" s="99"/>
    </row>
    <row r="173" ht="12.75">
      <c r="B173" s="99"/>
    </row>
    <row r="174" ht="12.75">
      <c r="B174" s="99"/>
    </row>
    <row r="175" ht="12.75">
      <c r="B175" s="99"/>
    </row>
    <row r="176" ht="12.75">
      <c r="B176" s="99"/>
    </row>
    <row r="177" ht="15">
      <c r="B177" s="81"/>
    </row>
    <row r="178" ht="15">
      <c r="B178" s="81"/>
    </row>
    <row r="179" ht="15">
      <c r="B179" s="81"/>
    </row>
  </sheetData>
  <mergeCells count="9">
    <mergeCell ref="I4:J4"/>
    <mergeCell ref="K4:L4"/>
    <mergeCell ref="K5:L5"/>
    <mergeCell ref="M4:N4"/>
    <mergeCell ref="M5:N5"/>
    <mergeCell ref="C4:D4"/>
    <mergeCell ref="E4:F4"/>
    <mergeCell ref="E5:F5"/>
    <mergeCell ref="G4:H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1"/>
  <headerFooter alignWithMargins="0">
    <oddFooter>&amp;R18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workbookViewId="0" topLeftCell="A1">
      <selection activeCell="B21" sqref="B21"/>
    </sheetView>
  </sheetViews>
  <sheetFormatPr defaultColWidth="9.140625" defaultRowHeight="12.75"/>
  <cols>
    <col min="1" max="1" width="6.8515625" style="0" customWidth="1"/>
    <col min="2" max="2" width="18.421875" style="0" customWidth="1"/>
    <col min="3" max="3" width="7.8515625" style="0" customWidth="1"/>
    <col min="4" max="4" width="5.140625" style="0" customWidth="1"/>
    <col min="5" max="5" width="6.140625" style="0" customWidth="1"/>
    <col min="6" max="6" width="2.7109375" style="0" customWidth="1"/>
    <col min="7" max="7" width="7.00390625" style="0" customWidth="1"/>
    <col min="8" max="8" width="3.28125" style="0" customWidth="1"/>
    <col min="9" max="9" width="8.8515625" style="0" customWidth="1"/>
    <col min="10" max="10" width="5.00390625" style="0" customWidth="1"/>
    <col min="11" max="11" width="9.00390625" style="0" customWidth="1"/>
    <col min="12" max="12" width="5.57421875" style="0" customWidth="1"/>
    <col min="13" max="13" width="7.57421875" style="0" customWidth="1"/>
    <col min="14" max="14" width="4.00390625" style="0" customWidth="1"/>
    <col min="15" max="15" width="10.57421875" style="0" customWidth="1"/>
    <col min="16" max="16" width="9.28125" style="0" customWidth="1"/>
    <col min="29" max="29" width="17.421875" style="0" customWidth="1"/>
    <col min="30" max="30" width="10.7109375" style="0" customWidth="1"/>
  </cols>
  <sheetData>
    <row r="1" spans="2:16" ht="15.75">
      <c r="B1" s="199" t="s">
        <v>462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6" ht="12.75">
      <c r="B2" s="21" t="s">
        <v>567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2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">
      <c r="B4" s="612" t="s">
        <v>60</v>
      </c>
      <c r="C4" s="455" t="s">
        <v>258</v>
      </c>
      <c r="D4" s="455"/>
      <c r="E4" s="453" t="s">
        <v>259</v>
      </c>
      <c r="F4" s="454"/>
      <c r="G4" s="455" t="s">
        <v>260</v>
      </c>
      <c r="H4" s="455"/>
      <c r="I4" s="453" t="s">
        <v>77</v>
      </c>
      <c r="J4" s="454"/>
      <c r="K4" s="455" t="s">
        <v>78</v>
      </c>
      <c r="L4" s="455"/>
      <c r="M4" s="453" t="s">
        <v>252</v>
      </c>
      <c r="N4" s="454"/>
      <c r="O4" s="455" t="s">
        <v>253</v>
      </c>
      <c r="P4" s="454"/>
    </row>
    <row r="5" spans="2:16" ht="15">
      <c r="B5" s="613"/>
      <c r="C5" s="21"/>
      <c r="D5" s="21"/>
      <c r="E5" s="18"/>
      <c r="F5" s="32"/>
      <c r="G5" s="21"/>
      <c r="H5" s="21"/>
      <c r="I5" s="625"/>
      <c r="J5" s="120"/>
      <c r="K5" s="845" t="s">
        <v>81</v>
      </c>
      <c r="L5" s="845"/>
      <c r="M5" s="18"/>
      <c r="N5" s="32"/>
      <c r="O5" s="845" t="s">
        <v>461</v>
      </c>
      <c r="P5" s="846"/>
    </row>
    <row r="6" spans="2:16" ht="15">
      <c r="B6" s="614"/>
      <c r="C6" s="839" t="s">
        <v>44</v>
      </c>
      <c r="D6" s="839"/>
      <c r="E6" s="840" t="s">
        <v>44</v>
      </c>
      <c r="F6" s="841"/>
      <c r="G6" s="839" t="s">
        <v>44</v>
      </c>
      <c r="H6" s="839"/>
      <c r="I6" s="842" t="s">
        <v>44</v>
      </c>
      <c r="J6" s="843"/>
      <c r="K6" s="844" t="s">
        <v>44</v>
      </c>
      <c r="L6" s="844"/>
      <c r="M6" s="840" t="s">
        <v>44</v>
      </c>
      <c r="N6" s="841"/>
      <c r="O6" s="836" t="s">
        <v>460</v>
      </c>
      <c r="P6" s="838"/>
    </row>
    <row r="7" spans="2:33" ht="19.5" customHeight="1">
      <c r="B7" s="615" t="s">
        <v>448</v>
      </c>
      <c r="C7" s="337">
        <f>S7*100</f>
        <v>5.690436791749946</v>
      </c>
      <c r="D7" s="330"/>
      <c r="E7" s="617" t="s">
        <v>19</v>
      </c>
      <c r="F7" s="618"/>
      <c r="G7" s="332" t="s">
        <v>19</v>
      </c>
      <c r="H7" s="332"/>
      <c r="I7" s="617" t="s">
        <v>19</v>
      </c>
      <c r="J7" s="618"/>
      <c r="K7" s="337">
        <f>W7*100</f>
        <v>2.1304757328492467</v>
      </c>
      <c r="L7" s="330"/>
      <c r="M7" s="626">
        <f>X7*100</f>
        <v>13.90928374785188</v>
      </c>
      <c r="N7" s="627"/>
      <c r="O7" s="341">
        <f>Y7*100</f>
        <v>41.3</v>
      </c>
      <c r="P7" s="31"/>
      <c r="S7" s="330">
        <v>0.056904367917499456</v>
      </c>
      <c r="T7" s="330" t="s">
        <v>19</v>
      </c>
      <c r="V7" s="330" t="s">
        <v>19</v>
      </c>
      <c r="W7" s="330">
        <v>0.021304757328492466</v>
      </c>
      <c r="X7" s="331">
        <v>0.1390928374785188</v>
      </c>
      <c r="Y7" s="331">
        <v>0.413</v>
      </c>
      <c r="Z7" s="332"/>
      <c r="AB7" s="179" t="s">
        <v>19</v>
      </c>
      <c r="AC7">
        <v>2</v>
      </c>
      <c r="AD7" s="179" t="s">
        <v>19</v>
      </c>
      <c r="AE7">
        <v>3</v>
      </c>
      <c r="AF7">
        <v>56</v>
      </c>
      <c r="AG7" s="179" t="s">
        <v>19</v>
      </c>
    </row>
    <row r="8" spans="2:33" ht="12.75">
      <c r="B8" s="616" t="s">
        <v>254</v>
      </c>
      <c r="C8" s="338" t="s">
        <v>19</v>
      </c>
      <c r="D8" s="332"/>
      <c r="E8" s="619" t="s">
        <v>19</v>
      </c>
      <c r="F8" s="620"/>
      <c r="G8" s="338">
        <f>U8*100</f>
        <v>7.406790697674419</v>
      </c>
      <c r="H8" s="338"/>
      <c r="I8" s="619" t="s">
        <v>19</v>
      </c>
      <c r="J8" s="620"/>
      <c r="K8" s="338" t="s">
        <v>19</v>
      </c>
      <c r="L8" s="332"/>
      <c r="M8" s="456">
        <f aca="true" t="shared" si="0" ref="M8:M19">X8*100</f>
        <v>49.328684336963484</v>
      </c>
      <c r="N8" s="628"/>
      <c r="O8" s="342">
        <f aca="true" t="shared" si="1" ref="O8:O19">Y8*100</f>
        <v>129.7</v>
      </c>
      <c r="P8" s="32"/>
      <c r="S8" s="332" t="s">
        <v>19</v>
      </c>
      <c r="T8" s="332" t="s">
        <v>19</v>
      </c>
      <c r="U8" s="332">
        <v>0.07406790697674419</v>
      </c>
      <c r="V8" s="332" t="s">
        <v>19</v>
      </c>
      <c r="W8" s="332" t="s">
        <v>19</v>
      </c>
      <c r="X8" s="333">
        <v>0.49328684336963485</v>
      </c>
      <c r="Y8" s="333">
        <v>1.297</v>
      </c>
      <c r="Z8" s="332"/>
      <c r="AB8">
        <v>973</v>
      </c>
      <c r="AC8">
        <v>6124</v>
      </c>
      <c r="AD8" s="179" t="s">
        <v>19</v>
      </c>
      <c r="AE8" s="179" t="s">
        <v>19</v>
      </c>
      <c r="AF8">
        <v>10669</v>
      </c>
      <c r="AG8" s="179" t="s">
        <v>19</v>
      </c>
    </row>
    <row r="9" spans="2:33" ht="12.75">
      <c r="B9" s="616" t="s">
        <v>255</v>
      </c>
      <c r="C9" s="338">
        <f aca="true" t="shared" si="2" ref="C9:C19">S9*100</f>
        <v>7.870447392497713</v>
      </c>
      <c r="D9" s="332"/>
      <c r="E9" s="621">
        <f>T9*100</f>
        <v>5.891846569005396</v>
      </c>
      <c r="F9" s="622"/>
      <c r="G9" s="339">
        <f aca="true" t="shared" si="3" ref="G9:G19">U9*100</f>
        <v>18.550182166826463</v>
      </c>
      <c r="H9" s="339"/>
      <c r="I9" s="619" t="s">
        <v>19</v>
      </c>
      <c r="J9" s="620"/>
      <c r="K9" s="338" t="s">
        <v>19</v>
      </c>
      <c r="L9" s="332"/>
      <c r="M9" s="456">
        <f t="shared" si="0"/>
        <v>25.136731872639253</v>
      </c>
      <c r="N9" s="628"/>
      <c r="O9" s="342">
        <f t="shared" si="1"/>
        <v>68.8</v>
      </c>
      <c r="P9" s="32"/>
      <c r="S9" s="332">
        <v>0.07870447392497713</v>
      </c>
      <c r="T9" s="334">
        <v>0.05891846569005396</v>
      </c>
      <c r="U9" s="334">
        <v>0.18550182166826462</v>
      </c>
      <c r="V9" s="332" t="s">
        <v>19</v>
      </c>
      <c r="W9" s="332" t="s">
        <v>19</v>
      </c>
      <c r="X9" s="333">
        <v>0.2513673187263925</v>
      </c>
      <c r="Y9" s="333">
        <v>0.688</v>
      </c>
      <c r="Z9" s="332"/>
      <c r="AB9">
        <v>548</v>
      </c>
      <c r="AC9">
        <v>130</v>
      </c>
      <c r="AD9">
        <v>194</v>
      </c>
      <c r="AE9">
        <v>16</v>
      </c>
      <c r="AF9">
        <v>6572</v>
      </c>
      <c r="AG9">
        <v>200</v>
      </c>
    </row>
    <row r="10" spans="2:33" ht="14.25">
      <c r="B10" s="616" t="s">
        <v>463</v>
      </c>
      <c r="C10" s="338">
        <f t="shared" si="2"/>
        <v>2.8847022058823524</v>
      </c>
      <c r="D10" s="332"/>
      <c r="E10" s="623">
        <f aca="true" t="shared" si="4" ref="E10:E19">T10*100</f>
        <v>34.95211049107143</v>
      </c>
      <c r="F10" s="624"/>
      <c r="G10" s="338">
        <f t="shared" si="3"/>
        <v>5.874985153256705</v>
      </c>
      <c r="H10" s="338"/>
      <c r="I10" s="623">
        <f>V10*100</f>
        <v>30.764550612833453</v>
      </c>
      <c r="J10" s="620"/>
      <c r="K10" s="338">
        <f>W10*100</f>
        <v>2.9956774193548386</v>
      </c>
      <c r="L10" s="332"/>
      <c r="M10" s="456">
        <f t="shared" si="0"/>
        <v>14.637083103152682</v>
      </c>
      <c r="N10" s="628"/>
      <c r="O10" s="342">
        <f t="shared" si="1"/>
        <v>46.9</v>
      </c>
      <c r="P10" s="32"/>
      <c r="S10" s="332">
        <v>0.028847022058823526</v>
      </c>
      <c r="T10" s="332">
        <v>0.3495211049107143</v>
      </c>
      <c r="U10" s="332">
        <v>0.05874985153256705</v>
      </c>
      <c r="V10" s="332">
        <v>0.3076455061283345</v>
      </c>
      <c r="W10" s="332">
        <v>0.029956774193548388</v>
      </c>
      <c r="X10" s="333">
        <v>0.14637083103152682</v>
      </c>
      <c r="Y10" s="333">
        <v>0.469</v>
      </c>
      <c r="Z10" s="332"/>
      <c r="AB10">
        <v>698</v>
      </c>
      <c r="AC10">
        <v>70</v>
      </c>
      <c r="AD10">
        <v>576</v>
      </c>
      <c r="AE10">
        <v>2996</v>
      </c>
      <c r="AF10">
        <v>12125</v>
      </c>
      <c r="AG10" s="179" t="s">
        <v>19</v>
      </c>
    </row>
    <row r="11" spans="2:33" ht="12.75">
      <c r="B11" s="616" t="s">
        <v>84</v>
      </c>
      <c r="C11" s="338">
        <f t="shared" si="2"/>
        <v>5.787111655803254</v>
      </c>
      <c r="D11" s="332"/>
      <c r="E11" s="623">
        <f t="shared" si="4"/>
        <v>7.538415381649963</v>
      </c>
      <c r="F11" s="624"/>
      <c r="G11" s="338">
        <f t="shared" si="3"/>
        <v>3.2377444444444445</v>
      </c>
      <c r="H11" s="338"/>
      <c r="I11" s="623" t="s">
        <v>19</v>
      </c>
      <c r="J11" s="620"/>
      <c r="K11" s="339" t="s">
        <v>19</v>
      </c>
      <c r="L11" s="332"/>
      <c r="M11" s="456">
        <f t="shared" si="0"/>
        <v>13.934115712851408</v>
      </c>
      <c r="N11" s="628"/>
      <c r="O11" s="342">
        <f t="shared" si="1"/>
        <v>49.4</v>
      </c>
      <c r="P11" s="32"/>
      <c r="S11" s="332">
        <v>0.05787111655803254</v>
      </c>
      <c r="T11" s="332">
        <v>0.07538415381649963</v>
      </c>
      <c r="U11" s="332">
        <v>0.032377444444444445</v>
      </c>
      <c r="V11" s="332" t="s">
        <v>19</v>
      </c>
      <c r="W11" s="332" t="s">
        <v>19</v>
      </c>
      <c r="X11" s="333">
        <v>0.13934115712851408</v>
      </c>
      <c r="Y11" s="333">
        <v>0.494</v>
      </c>
      <c r="Z11" s="332"/>
      <c r="AB11">
        <v>3288</v>
      </c>
      <c r="AC11">
        <v>6824</v>
      </c>
      <c r="AD11">
        <v>4887</v>
      </c>
      <c r="AE11">
        <v>1754</v>
      </c>
      <c r="AF11">
        <v>101953</v>
      </c>
      <c r="AG11">
        <v>3507</v>
      </c>
    </row>
    <row r="12" spans="2:33" ht="12.75">
      <c r="B12" s="616" t="s">
        <v>85</v>
      </c>
      <c r="C12" s="338">
        <f t="shared" si="2"/>
        <v>3.1793820154652033</v>
      </c>
      <c r="D12" s="332"/>
      <c r="E12" s="621" t="s">
        <v>19</v>
      </c>
      <c r="F12" s="622"/>
      <c r="G12" s="339" t="s">
        <v>19</v>
      </c>
      <c r="H12" s="339"/>
      <c r="I12" s="623" t="s">
        <v>19</v>
      </c>
      <c r="J12" s="620"/>
      <c r="K12" s="339" t="s">
        <v>19</v>
      </c>
      <c r="L12" s="332"/>
      <c r="M12" s="456">
        <f t="shared" si="0"/>
        <v>18.715096751985445</v>
      </c>
      <c r="N12" s="628"/>
      <c r="O12" s="342">
        <f t="shared" si="1"/>
        <v>50.9</v>
      </c>
      <c r="P12" s="32"/>
      <c r="S12" s="332">
        <v>0.031793820154652035</v>
      </c>
      <c r="T12" s="332" t="s">
        <v>19</v>
      </c>
      <c r="U12" s="332" t="s">
        <v>19</v>
      </c>
      <c r="V12" s="332" t="s">
        <v>19</v>
      </c>
      <c r="W12" s="332" t="s">
        <v>19</v>
      </c>
      <c r="X12" s="333">
        <v>0.18715096751985447</v>
      </c>
      <c r="Y12" s="333">
        <v>0.509</v>
      </c>
      <c r="Z12" s="332"/>
      <c r="AB12" s="179" t="s">
        <v>19</v>
      </c>
      <c r="AC12">
        <v>728</v>
      </c>
      <c r="AD12" s="179" t="s">
        <v>19</v>
      </c>
      <c r="AE12" s="179" t="s">
        <v>19</v>
      </c>
      <c r="AF12">
        <v>4833</v>
      </c>
      <c r="AG12" s="179" t="s">
        <v>19</v>
      </c>
    </row>
    <row r="13" spans="2:33" ht="12.75">
      <c r="B13" s="616" t="s">
        <v>86</v>
      </c>
      <c r="C13" s="338">
        <f t="shared" si="2"/>
        <v>15.300846619427222</v>
      </c>
      <c r="D13" s="332"/>
      <c r="E13" s="623">
        <f t="shared" si="4"/>
        <v>17.985051341156748</v>
      </c>
      <c r="F13" s="624"/>
      <c r="G13" s="338">
        <f t="shared" si="3"/>
        <v>5.486188798872842</v>
      </c>
      <c r="H13" s="338"/>
      <c r="I13" s="623" t="s">
        <v>19</v>
      </c>
      <c r="J13" s="620"/>
      <c r="K13" s="339" t="s">
        <v>19</v>
      </c>
      <c r="L13" s="332"/>
      <c r="M13" s="456">
        <f t="shared" si="0"/>
        <v>36.682271896350244</v>
      </c>
      <c r="N13" s="628"/>
      <c r="O13" s="342">
        <f t="shared" si="1"/>
        <v>106.5</v>
      </c>
      <c r="P13" s="32"/>
      <c r="S13" s="332">
        <v>0.15300846619427222</v>
      </c>
      <c r="T13" s="332">
        <v>0.17985051341156746</v>
      </c>
      <c r="U13" s="332">
        <v>0.054861887988728424</v>
      </c>
      <c r="V13" s="332" t="s">
        <v>19</v>
      </c>
      <c r="W13" s="332" t="s">
        <v>19</v>
      </c>
      <c r="X13" s="333">
        <v>0.36682271896350244</v>
      </c>
      <c r="Y13" s="333">
        <v>1.065</v>
      </c>
      <c r="Z13" s="332"/>
      <c r="AB13">
        <v>481</v>
      </c>
      <c r="AC13">
        <v>2722</v>
      </c>
      <c r="AD13">
        <v>136</v>
      </c>
      <c r="AE13">
        <v>198</v>
      </c>
      <c r="AF13">
        <v>35833</v>
      </c>
      <c r="AG13">
        <v>113</v>
      </c>
    </row>
    <row r="14" spans="2:33" ht="14.25">
      <c r="B14" s="616" t="s">
        <v>464</v>
      </c>
      <c r="C14" s="338">
        <f t="shared" si="2"/>
        <v>4.033244147157191</v>
      </c>
      <c r="D14" s="332"/>
      <c r="E14" s="621" t="s">
        <v>19</v>
      </c>
      <c r="F14" s="622"/>
      <c r="G14" s="338">
        <f t="shared" si="3"/>
        <v>9.51828823880597</v>
      </c>
      <c r="H14" s="338"/>
      <c r="I14" s="623">
        <f aca="true" t="shared" si="5" ref="I14:I19">V14*100</f>
        <v>42.43083801737353</v>
      </c>
      <c r="J14" s="620"/>
      <c r="K14" s="339" t="s">
        <v>19</v>
      </c>
      <c r="L14" s="332"/>
      <c r="M14" s="456">
        <f t="shared" si="0"/>
        <v>20.238327299962553</v>
      </c>
      <c r="N14" s="628"/>
      <c r="O14" s="342">
        <f t="shared" si="1"/>
        <v>47.599999999999994</v>
      </c>
      <c r="P14" s="32"/>
      <c r="S14" s="332">
        <v>0.04033244147157191</v>
      </c>
      <c r="T14" s="332" t="s">
        <v>19</v>
      </c>
      <c r="U14" s="332">
        <v>0.0951828823880597</v>
      </c>
      <c r="V14" s="332">
        <v>0.42430838017373534</v>
      </c>
      <c r="W14" s="332" t="s">
        <v>19</v>
      </c>
      <c r="X14" s="333">
        <v>0.20238327299962552</v>
      </c>
      <c r="Y14" s="333">
        <v>0.476</v>
      </c>
      <c r="Z14" s="332"/>
      <c r="AB14" s="179" t="s">
        <v>19</v>
      </c>
      <c r="AC14">
        <v>1254</v>
      </c>
      <c r="AD14" s="179" t="s">
        <v>19</v>
      </c>
      <c r="AE14" s="179" t="s">
        <v>19</v>
      </c>
      <c r="AF14">
        <v>885</v>
      </c>
      <c r="AG14" s="179" t="s">
        <v>19</v>
      </c>
    </row>
    <row r="15" spans="2:33" ht="14.25">
      <c r="B15" s="616" t="s">
        <v>465</v>
      </c>
      <c r="C15" s="338">
        <f t="shared" si="2"/>
        <v>18.195693084938426</v>
      </c>
      <c r="D15" s="332"/>
      <c r="E15" s="623">
        <f t="shared" si="4"/>
        <v>27.944634253819032</v>
      </c>
      <c r="F15" s="624"/>
      <c r="G15" s="338">
        <f t="shared" si="3"/>
        <v>24.037612695635875</v>
      </c>
      <c r="H15" s="338"/>
      <c r="I15" s="623">
        <f t="shared" si="5"/>
        <v>24.250802612955905</v>
      </c>
      <c r="J15" s="620"/>
      <c r="K15" s="339" t="s">
        <v>19</v>
      </c>
      <c r="L15" s="332"/>
      <c r="M15" s="456">
        <f t="shared" si="0"/>
        <v>23.263125264056068</v>
      </c>
      <c r="N15" s="628"/>
      <c r="O15" s="342">
        <f t="shared" si="1"/>
        <v>87</v>
      </c>
      <c r="P15" s="32"/>
      <c r="S15" s="332">
        <v>0.18195693084938425</v>
      </c>
      <c r="T15" s="332">
        <v>0.27944634253819034</v>
      </c>
      <c r="U15" s="332">
        <v>0.24037612695635874</v>
      </c>
      <c r="V15" s="332">
        <v>0.24250802612955905</v>
      </c>
      <c r="W15" s="332" t="s">
        <v>19</v>
      </c>
      <c r="X15" s="333">
        <v>0.23263125264056067</v>
      </c>
      <c r="Y15" s="333">
        <v>0.87</v>
      </c>
      <c r="Z15" s="332"/>
      <c r="AB15">
        <v>2209</v>
      </c>
      <c r="AC15">
        <v>4120</v>
      </c>
      <c r="AD15">
        <v>1191</v>
      </c>
      <c r="AE15">
        <v>3512</v>
      </c>
      <c r="AF15">
        <v>25077</v>
      </c>
      <c r="AG15">
        <v>1295</v>
      </c>
    </row>
    <row r="16" spans="2:33" ht="14.25">
      <c r="B16" s="616" t="s">
        <v>466</v>
      </c>
      <c r="C16" s="339" t="s">
        <v>19</v>
      </c>
      <c r="D16" s="332"/>
      <c r="E16" s="621" t="s">
        <v>19</v>
      </c>
      <c r="F16" s="622"/>
      <c r="G16" s="338">
        <f t="shared" si="3"/>
        <v>12.794969020462318</v>
      </c>
      <c r="H16" s="338"/>
      <c r="I16" s="621" t="s">
        <v>19</v>
      </c>
      <c r="J16" s="620"/>
      <c r="K16" s="339" t="s">
        <v>19</v>
      </c>
      <c r="L16" s="332"/>
      <c r="M16" s="456">
        <f t="shared" si="0"/>
        <v>28.85123326496727</v>
      </c>
      <c r="N16" s="628"/>
      <c r="O16" s="342">
        <f t="shared" si="1"/>
        <v>44</v>
      </c>
      <c r="P16" s="32"/>
      <c r="S16" s="332" t="s">
        <v>19</v>
      </c>
      <c r="T16" s="332" t="s">
        <v>19</v>
      </c>
      <c r="U16" s="332">
        <v>0.12794969020462318</v>
      </c>
      <c r="V16" s="332" t="s">
        <v>19</v>
      </c>
      <c r="W16" s="332" t="s">
        <v>19</v>
      </c>
      <c r="X16" s="333">
        <v>0.2885123326496727</v>
      </c>
      <c r="Y16" s="333">
        <v>0.44</v>
      </c>
      <c r="Z16" s="332"/>
      <c r="AB16">
        <v>1264</v>
      </c>
      <c r="AC16">
        <v>1391</v>
      </c>
      <c r="AD16">
        <v>5626</v>
      </c>
      <c r="AE16" s="179" t="s">
        <v>19</v>
      </c>
      <c r="AF16">
        <v>27004</v>
      </c>
      <c r="AG16" s="179" t="s">
        <v>19</v>
      </c>
    </row>
    <row r="17" spans="2:33" ht="14.25">
      <c r="B17" s="616" t="s">
        <v>467</v>
      </c>
      <c r="C17" s="338">
        <f t="shared" si="2"/>
        <v>10.745479226720544</v>
      </c>
      <c r="D17" s="332"/>
      <c r="E17" s="621" t="s">
        <v>19</v>
      </c>
      <c r="F17" s="622"/>
      <c r="G17" s="339" t="s">
        <v>19</v>
      </c>
      <c r="H17" s="339"/>
      <c r="I17" s="621" t="s">
        <v>19</v>
      </c>
      <c r="J17" s="620"/>
      <c r="K17" s="339" t="s">
        <v>19</v>
      </c>
      <c r="L17" s="332"/>
      <c r="M17" s="456">
        <f t="shared" si="0"/>
        <v>20.08912187472928</v>
      </c>
      <c r="N17" s="628"/>
      <c r="O17" s="342">
        <f t="shared" si="1"/>
        <v>56.99999999999999</v>
      </c>
      <c r="P17" s="32"/>
      <c r="S17" s="332">
        <v>0.10745479226720545</v>
      </c>
      <c r="T17" s="332" t="s">
        <v>19</v>
      </c>
      <c r="U17" s="332" t="s">
        <v>19</v>
      </c>
      <c r="V17" s="332" t="s">
        <v>19</v>
      </c>
      <c r="W17" s="332" t="s">
        <v>19</v>
      </c>
      <c r="X17" s="333">
        <v>0.2008912187472928</v>
      </c>
      <c r="Y17" s="333">
        <v>0.57</v>
      </c>
      <c r="Z17" s="332"/>
      <c r="AB17" s="179" t="s">
        <v>19</v>
      </c>
      <c r="AC17">
        <v>62</v>
      </c>
      <c r="AD17">
        <v>612</v>
      </c>
      <c r="AE17" s="179" t="s">
        <v>19</v>
      </c>
      <c r="AF17">
        <v>7795</v>
      </c>
      <c r="AG17">
        <v>7316</v>
      </c>
    </row>
    <row r="18" spans="2:33" ht="13.5" thickBot="1">
      <c r="B18" s="647" t="s">
        <v>52</v>
      </c>
      <c r="C18" s="648">
        <f t="shared" si="2"/>
        <v>5.573326248671625</v>
      </c>
      <c r="D18" s="649"/>
      <c r="E18" s="650">
        <f t="shared" si="4"/>
        <v>4.054886211512717</v>
      </c>
      <c r="F18" s="651"/>
      <c r="G18" s="648">
        <f t="shared" si="3"/>
        <v>2.300931677018634</v>
      </c>
      <c r="H18" s="648"/>
      <c r="I18" s="650">
        <f t="shared" si="5"/>
        <v>8.672475847698427</v>
      </c>
      <c r="J18" s="652"/>
      <c r="K18" s="648">
        <f>W18*100</f>
        <v>2.853437094682231</v>
      </c>
      <c r="L18" s="649"/>
      <c r="M18" s="471">
        <f t="shared" si="0"/>
        <v>6.634079006130486</v>
      </c>
      <c r="N18" s="653"/>
      <c r="O18" s="473">
        <f t="shared" si="1"/>
        <v>22.7</v>
      </c>
      <c r="P18" s="609"/>
      <c r="S18" s="332">
        <v>0.055733262486716256</v>
      </c>
      <c r="T18" s="332">
        <v>0.04054886211512718</v>
      </c>
      <c r="U18" s="332">
        <v>0.023009316770186337</v>
      </c>
      <c r="V18" s="332">
        <v>0.08672475847698427</v>
      </c>
      <c r="W18" s="332">
        <v>0.028534370946822308</v>
      </c>
      <c r="X18" s="333">
        <v>0.06634079006130486</v>
      </c>
      <c r="Y18" s="333">
        <v>0.227</v>
      </c>
      <c r="Z18" s="332"/>
      <c r="AB18">
        <v>6389</v>
      </c>
      <c r="AC18">
        <v>4629</v>
      </c>
      <c r="AD18">
        <v>5259</v>
      </c>
      <c r="AE18">
        <v>3549</v>
      </c>
      <c r="AF18">
        <v>43396</v>
      </c>
      <c r="AG18">
        <v>6980</v>
      </c>
    </row>
    <row r="19" spans="2:33" ht="21.75" customHeight="1" thickTop="1">
      <c r="B19" s="638" t="s">
        <v>256</v>
      </c>
      <c r="C19" s="639">
        <f t="shared" si="2"/>
        <v>7.926066938831347</v>
      </c>
      <c r="D19" s="640"/>
      <c r="E19" s="641">
        <f t="shared" si="4"/>
        <v>14.380746797034616</v>
      </c>
      <c r="F19" s="642"/>
      <c r="G19" s="639">
        <f t="shared" si="3"/>
        <v>10.846559577438079</v>
      </c>
      <c r="H19" s="639"/>
      <c r="I19" s="641">
        <f t="shared" si="5"/>
        <v>26.529666772715327</v>
      </c>
      <c r="J19" s="643"/>
      <c r="K19" s="639">
        <f>W19*100</f>
        <v>2.659863415628772</v>
      </c>
      <c r="L19" s="640"/>
      <c r="M19" s="644">
        <f t="shared" si="0"/>
        <v>20.190042708606956</v>
      </c>
      <c r="N19" s="645"/>
      <c r="O19" s="646">
        <f t="shared" si="1"/>
        <v>51.6</v>
      </c>
      <c r="P19" s="35"/>
      <c r="S19" s="335">
        <v>0.07926066938831347</v>
      </c>
      <c r="T19" s="335">
        <v>0.14380746797034616</v>
      </c>
      <c r="U19" s="335">
        <v>0.1084655957743808</v>
      </c>
      <c r="V19" s="335">
        <v>0.26529666772715327</v>
      </c>
      <c r="W19" s="335">
        <v>0.02659863415628772</v>
      </c>
      <c r="X19" s="336">
        <v>0.20190042708606956</v>
      </c>
      <c r="Y19" s="336">
        <v>0.516</v>
      </c>
      <c r="Z19" s="340"/>
      <c r="AB19">
        <v>25496</v>
      </c>
      <c r="AC19">
        <v>13535</v>
      </c>
      <c r="AD19">
        <v>9498</v>
      </c>
      <c r="AE19" s="179" t="s">
        <v>19</v>
      </c>
      <c r="AF19">
        <v>101616</v>
      </c>
      <c r="AG19">
        <v>2799</v>
      </c>
    </row>
    <row r="20" spans="2:31" ht="19.5" customHeight="1">
      <c r="B20" s="328" t="s">
        <v>471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AE20" s="179"/>
    </row>
    <row r="21" spans="2:31" ht="12.75">
      <c r="B21" s="70" t="s">
        <v>472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AE21" s="179"/>
    </row>
    <row r="22" spans="2:31" ht="12.75">
      <c r="B22" s="70" t="s">
        <v>63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AE22" s="179"/>
    </row>
    <row r="23" spans="2:16" ht="12.75">
      <c r="B23" s="302" t="s">
        <v>468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2.75">
      <c r="B24" s="302" t="s">
        <v>568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2:27" ht="12.75">
      <c r="B25" s="302" t="s">
        <v>469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2:27" ht="12.75">
      <c r="B26" s="302" t="s">
        <v>470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2:4" s="21" customFormat="1" ht="12.75">
      <c r="B27" s="302" t="s">
        <v>569</v>
      </c>
      <c r="C27" s="38"/>
      <c r="D27" s="38"/>
    </row>
    <row r="28" spans="2:4" s="21" customFormat="1" ht="12.75">
      <c r="B28" s="302" t="s">
        <v>570</v>
      </c>
      <c r="C28" s="38"/>
      <c r="D28" s="38"/>
    </row>
    <row r="29" s="21" customFormat="1" ht="12.75">
      <c r="B29" s="70" t="s">
        <v>346</v>
      </c>
    </row>
    <row r="30" spans="2:4" s="21" customFormat="1" ht="12.75">
      <c r="B30" s="71"/>
      <c r="C30" s="38"/>
      <c r="D30" s="38"/>
    </row>
    <row r="31" spans="2:29" ht="12.75" hidden="1">
      <c r="B31" s="21"/>
      <c r="C31" s="21"/>
      <c r="D31" s="21"/>
      <c r="E31" s="21"/>
      <c r="F31" s="21"/>
      <c r="G31" s="21"/>
      <c r="H31" s="21"/>
      <c r="I31" s="94" t="s">
        <v>257</v>
      </c>
      <c r="J31" s="9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2:29" ht="12.75" hidden="1">
      <c r="B32" s="21"/>
      <c r="C32" s="21"/>
      <c r="D32" s="21"/>
      <c r="E32" s="21"/>
      <c r="F32" s="21"/>
      <c r="G32" s="21"/>
      <c r="H32" s="21"/>
      <c r="I32" s="119">
        <f>'[2]ANNEX F.Table 4'!I5</f>
        <v>1995</v>
      </c>
      <c r="J32" s="119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2:10" ht="14.25" hidden="1">
      <c r="B33" s="136" t="s">
        <v>261</v>
      </c>
      <c r="C33">
        <v>69</v>
      </c>
      <c r="E33">
        <v>74</v>
      </c>
      <c r="I33" s="4">
        <f>'[2]ANNEX F.Table 5'!I8</f>
        <v>346.379463</v>
      </c>
      <c r="J33" s="4"/>
    </row>
    <row r="34" spans="2:10" ht="12.75" hidden="1">
      <c r="B34" s="136" t="s">
        <v>254</v>
      </c>
      <c r="C34" t="s">
        <v>19</v>
      </c>
      <c r="I34" s="4">
        <f>'[2]ANNEX F.Table 5'!I9</f>
        <v>47.17606721675897</v>
      </c>
      <c r="J34" s="4"/>
    </row>
    <row r="35" spans="2:10" ht="12.75" hidden="1">
      <c r="B35" s="136" t="s">
        <v>255</v>
      </c>
      <c r="C35">
        <v>48</v>
      </c>
      <c r="E35">
        <v>38</v>
      </c>
      <c r="I35" s="4">
        <f>'[2]ANNEX F.Table 5'!I10</f>
        <v>124.975381867314</v>
      </c>
      <c r="J35" s="4"/>
    </row>
    <row r="36" spans="2:10" ht="14.25" hidden="1">
      <c r="B36" s="136" t="s">
        <v>262</v>
      </c>
      <c r="C36">
        <v>366</v>
      </c>
      <c r="E36">
        <v>336</v>
      </c>
      <c r="I36" s="4">
        <f>'[2]ANNEX F.Table 5'!I11</f>
        <v>1497.8789952106342</v>
      </c>
      <c r="J36" s="4"/>
    </row>
    <row r="37" spans="2:10" ht="12.75" hidden="1">
      <c r="B37" s="136" t="s">
        <v>84</v>
      </c>
      <c r="C37">
        <v>604</v>
      </c>
      <c r="E37">
        <v>589</v>
      </c>
      <c r="I37" s="4">
        <f>'[2]ANNEX F.Table 5'!I12</f>
        <v>2414.0674063219594</v>
      </c>
      <c r="J37" s="4"/>
    </row>
    <row r="38" spans="2:10" ht="12.75" hidden="1">
      <c r="B38" s="136" t="s">
        <v>85</v>
      </c>
      <c r="C38">
        <v>299</v>
      </c>
      <c r="E38">
        <v>254</v>
      </c>
      <c r="I38" s="4">
        <f>'[2]ANNEX F.Table 5'!I13</f>
        <v>1087.236785560808</v>
      </c>
      <c r="J38" s="4"/>
    </row>
    <row r="39" spans="2:10" ht="12.75" hidden="1">
      <c r="B39" s="136" t="s">
        <v>86</v>
      </c>
      <c r="C39">
        <v>222</v>
      </c>
      <c r="E39">
        <v>199</v>
      </c>
      <c r="I39" s="4">
        <f>'[2]ANNEX F.Table 5'!I14</f>
        <v>395.2793174316498</v>
      </c>
      <c r="J39" s="4"/>
    </row>
    <row r="40" spans="2:10" ht="14.25" hidden="1">
      <c r="B40" s="136" t="s">
        <v>263</v>
      </c>
      <c r="C40">
        <v>131</v>
      </c>
      <c r="E40">
        <v>130</v>
      </c>
      <c r="I40" s="4">
        <f>'[2]ANNEX F.Table 5'!I15</f>
        <v>548.3184032688984</v>
      </c>
      <c r="J40" s="4"/>
    </row>
    <row r="41" spans="2:10" ht="14.25" hidden="1">
      <c r="B41" s="136" t="s">
        <v>264</v>
      </c>
      <c r="C41">
        <v>123</v>
      </c>
      <c r="E41">
        <v>109</v>
      </c>
      <c r="I41" s="4">
        <f>'[2]ANNEX F.Table 5'!I16</f>
        <v>266.5789281275134</v>
      </c>
      <c r="J41" s="4"/>
    </row>
    <row r="42" spans="2:10" ht="14.25" hidden="1">
      <c r="B42" s="136" t="s">
        <v>265</v>
      </c>
      <c r="C42">
        <v>36</v>
      </c>
      <c r="E42">
        <v>40</v>
      </c>
      <c r="I42" s="4">
        <f>'[2]ANNEX F.Table 5'!I17</f>
        <v>172.89473224997275</v>
      </c>
      <c r="J42" s="4"/>
    </row>
    <row r="43" spans="2:10" ht="14.25" hidden="1">
      <c r="B43" s="136" t="s">
        <v>266</v>
      </c>
      <c r="C43">
        <v>312</v>
      </c>
      <c r="E43">
        <v>318</v>
      </c>
      <c r="I43" s="4">
        <f>'[2]ANNEX F.Table 5'!I18</f>
        <v>1105.13942</v>
      </c>
      <c r="J43" s="4"/>
    </row>
    <row r="44" spans="2:10" ht="12.75" hidden="1">
      <c r="B44" s="136" t="s">
        <v>52</v>
      </c>
      <c r="C44">
        <v>767</v>
      </c>
      <c r="E44">
        <v>878</v>
      </c>
      <c r="I44" s="4">
        <f>'[2]ANNEX F.Table 5'!I19</f>
        <v>7253.8</v>
      </c>
      <c r="J44" s="4"/>
    </row>
    <row r="45" spans="2:17" ht="12.75" hidden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31"/>
    </row>
    <row r="46" spans="2:17" ht="12.75" hidden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2"/>
    </row>
    <row r="47" spans="2:17" ht="12.75" hidden="1">
      <c r="B47" s="21"/>
      <c r="C47" s="21"/>
      <c r="D47" s="21"/>
      <c r="E47" s="21">
        <v>21.9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2"/>
    </row>
    <row r="48" spans="2:17" ht="12.75" hidden="1">
      <c r="B48" s="21"/>
      <c r="C48" s="21"/>
      <c r="D48" s="21"/>
      <c r="E48" s="21">
        <v>27.8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32"/>
    </row>
    <row r="49" spans="2:17" ht="12.75" hidden="1">
      <c r="B49" s="21"/>
      <c r="C49" s="21"/>
      <c r="D49" s="21"/>
      <c r="E49" s="21">
        <v>6.6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32"/>
    </row>
    <row r="50" spans="2:17" ht="12.75" hidden="1">
      <c r="B50" s="21"/>
      <c r="C50" s="21"/>
      <c r="D50" s="21"/>
      <c r="E50" s="21">
        <v>4.9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32"/>
    </row>
    <row r="51" spans="2:17" ht="12.75" hidden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2"/>
    </row>
    <row r="52" ht="12.75" hidden="1"/>
    <row r="53" spans="2:17" ht="12.75" hidden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mergeCells count="16">
    <mergeCell ref="C4:D4"/>
    <mergeCell ref="I4:J4"/>
    <mergeCell ref="K4:L4"/>
    <mergeCell ref="K5:L5"/>
    <mergeCell ref="E4:F4"/>
    <mergeCell ref="G4:H4"/>
    <mergeCell ref="K6:L6"/>
    <mergeCell ref="M4:N4"/>
    <mergeCell ref="O4:P4"/>
    <mergeCell ref="O5:P5"/>
    <mergeCell ref="O6:P6"/>
    <mergeCell ref="M6:N6"/>
    <mergeCell ref="C6:D6"/>
    <mergeCell ref="E6:F6"/>
    <mergeCell ref="G6:H6"/>
    <mergeCell ref="I6:J6"/>
  </mergeCells>
  <printOptions horizontalCentered="1" verticalCentered="1"/>
  <pageMargins left="0.5905511811023623" right="0.5905511811023623" top="0.7874015748031497" bottom="0.8267716535433072" header="0" footer="0.3937007874015748"/>
  <pageSetup fitToHeight="1" fitToWidth="1" horizontalDpi="600" verticalDpi="600" orientation="portrait" paperSize="9" scale="73" r:id="rId1"/>
  <headerFooter alignWithMargins="0">
    <oddFooter>&amp;R19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workbookViewId="0" topLeftCell="A1">
      <selection activeCell="A19" sqref="A19"/>
    </sheetView>
  </sheetViews>
  <sheetFormatPr defaultColWidth="9.140625" defaultRowHeight="12.75"/>
  <cols>
    <col min="1" max="1" width="23.57421875" style="0" customWidth="1"/>
    <col min="2" max="2" width="10.421875" style="99" customWidth="1"/>
    <col min="3" max="3" width="19.7109375" style="99" customWidth="1"/>
    <col min="4" max="5" width="10.7109375" style="150" customWidth="1"/>
    <col min="6" max="6" width="10.7109375" style="150" hidden="1" customWidth="1"/>
    <col min="7" max="7" width="14.7109375" style="150" customWidth="1"/>
    <col min="8" max="8" width="10.7109375" style="150" hidden="1" customWidth="1"/>
    <col min="9" max="9" width="13.421875" style="150" hidden="1" customWidth="1"/>
    <col min="10" max="10" width="10.7109375" style="150" hidden="1" customWidth="1"/>
    <col min="11" max="11" width="13.421875" style="150" hidden="1" customWidth="1"/>
    <col min="12" max="12" width="10.7109375" style="150" hidden="1" customWidth="1"/>
    <col min="13" max="13" width="13.8515625" style="150" customWidth="1"/>
    <col min="14" max="14" width="12.7109375" style="150" customWidth="1"/>
    <col min="15" max="15" width="13.7109375" style="150" customWidth="1"/>
    <col min="16" max="16" width="13.00390625" style="150" hidden="1" customWidth="1"/>
    <col min="17" max="17" width="24.8515625" style="150" customWidth="1"/>
    <col min="18" max="19" width="9.140625" style="150" customWidth="1"/>
  </cols>
  <sheetData>
    <row r="1" spans="1:19" ht="12.75">
      <c r="A1" s="21"/>
      <c r="B1" s="94"/>
      <c r="C1" s="94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>
      <c r="A2" s="155" t="s">
        <v>380</v>
      </c>
      <c r="B2" s="94"/>
      <c r="C2" s="9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2.75">
      <c r="A3" s="21"/>
      <c r="B3" s="94"/>
      <c r="C3" s="94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122" customFormat="1" ht="19.5" customHeight="1">
      <c r="A4" s="664"/>
      <c r="B4" s="366" t="s">
        <v>316</v>
      </c>
      <c r="C4" s="366" t="s">
        <v>305</v>
      </c>
      <c r="D4" s="366" t="s">
        <v>320</v>
      </c>
      <c r="E4" s="366" t="s">
        <v>306</v>
      </c>
      <c r="F4" s="366" t="s">
        <v>324</v>
      </c>
      <c r="G4" s="366" t="s">
        <v>77</v>
      </c>
      <c r="H4" s="366" t="s">
        <v>309</v>
      </c>
      <c r="I4" s="367" t="s">
        <v>327</v>
      </c>
      <c r="J4" s="367" t="s">
        <v>322</v>
      </c>
      <c r="K4" s="367" t="s">
        <v>326</v>
      </c>
      <c r="L4" s="367" t="s">
        <v>307</v>
      </c>
      <c r="M4" s="366" t="s">
        <v>323</v>
      </c>
      <c r="N4" s="366" t="s">
        <v>216</v>
      </c>
      <c r="O4" s="458" t="s">
        <v>81</v>
      </c>
      <c r="P4" s="345" t="s">
        <v>329</v>
      </c>
      <c r="Q4" s="85"/>
      <c r="R4" s="85"/>
      <c r="S4" s="38"/>
    </row>
    <row r="5" spans="1:19" s="194" customFormat="1" ht="19.5" customHeight="1">
      <c r="A5" s="665"/>
      <c r="B5" s="368" t="s">
        <v>487</v>
      </c>
      <c r="C5" s="368" t="s">
        <v>488</v>
      </c>
      <c r="D5" s="368" t="s">
        <v>489</v>
      </c>
      <c r="E5" s="368" t="s">
        <v>490</v>
      </c>
      <c r="F5" s="368"/>
      <c r="G5" s="368" t="s">
        <v>491</v>
      </c>
      <c r="H5" s="368" t="s">
        <v>80</v>
      </c>
      <c r="I5" s="368"/>
      <c r="J5" s="369" t="s">
        <v>321</v>
      </c>
      <c r="K5" s="368"/>
      <c r="L5" s="368" t="s">
        <v>308</v>
      </c>
      <c r="M5" s="368" t="s">
        <v>80</v>
      </c>
      <c r="N5" s="368" t="s">
        <v>80</v>
      </c>
      <c r="O5" s="629" t="s">
        <v>492</v>
      </c>
      <c r="P5" s="345" t="s">
        <v>325</v>
      </c>
      <c r="Q5" s="346"/>
      <c r="R5" s="346"/>
      <c r="S5" s="70"/>
    </row>
    <row r="6" spans="1:19" ht="19.5" customHeight="1">
      <c r="A6" s="667" t="s">
        <v>348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459"/>
      <c r="P6" s="102"/>
      <c r="Q6" s="102"/>
      <c r="R6" s="102"/>
      <c r="S6" s="21"/>
    </row>
    <row r="7" spans="1:19" ht="19.5" customHeight="1">
      <c r="A7" s="522" t="s">
        <v>317</v>
      </c>
      <c r="B7" s="347" t="s">
        <v>19</v>
      </c>
      <c r="C7" s="347">
        <v>8259</v>
      </c>
      <c r="D7" s="347">
        <v>2469</v>
      </c>
      <c r="E7" s="347">
        <v>4029</v>
      </c>
      <c r="F7" s="347" t="s">
        <v>19</v>
      </c>
      <c r="G7" s="347">
        <v>18189</v>
      </c>
      <c r="H7" s="347"/>
      <c r="I7" s="347"/>
      <c r="J7" s="347"/>
      <c r="K7" s="347"/>
      <c r="L7" s="347"/>
      <c r="M7" s="347">
        <v>12369</v>
      </c>
      <c r="N7" s="347">
        <v>820</v>
      </c>
      <c r="O7" s="459">
        <v>130</v>
      </c>
      <c r="P7" s="102">
        <v>119390</v>
      </c>
      <c r="Q7" s="102"/>
      <c r="R7" s="102"/>
      <c r="S7" s="21"/>
    </row>
    <row r="8" spans="1:19" ht="19.5" customHeight="1">
      <c r="A8" s="522" t="s">
        <v>319</v>
      </c>
      <c r="B8" s="347" t="s">
        <v>19</v>
      </c>
      <c r="C8" s="347">
        <v>3489</v>
      </c>
      <c r="D8" s="347">
        <v>7029</v>
      </c>
      <c r="E8" s="347">
        <v>1680</v>
      </c>
      <c r="F8" s="347" t="s">
        <v>19</v>
      </c>
      <c r="G8" s="347">
        <v>32619</v>
      </c>
      <c r="H8" s="347"/>
      <c r="I8" s="347"/>
      <c r="J8" s="347"/>
      <c r="K8" s="347"/>
      <c r="L8" s="347"/>
      <c r="M8" s="347">
        <v>17849</v>
      </c>
      <c r="N8" s="347">
        <v>7179</v>
      </c>
      <c r="O8" s="459">
        <v>2200</v>
      </c>
      <c r="P8" s="102">
        <v>177199</v>
      </c>
      <c r="Q8" s="102"/>
      <c r="R8" s="102"/>
      <c r="S8" s="21"/>
    </row>
    <row r="9" spans="1:19" ht="19.5" customHeight="1" hidden="1">
      <c r="A9" s="522" t="s">
        <v>318</v>
      </c>
      <c r="B9" s="347" t="s">
        <v>19</v>
      </c>
      <c r="C9" s="347">
        <f>SUM(C7:C8)</f>
        <v>11748</v>
      </c>
      <c r="D9" s="347">
        <f>SUM(D7:D8)</f>
        <v>9498</v>
      </c>
      <c r="E9" s="347">
        <v>5709</v>
      </c>
      <c r="F9" s="347" t="s">
        <v>19</v>
      </c>
      <c r="G9" s="347">
        <f>SUM(G7:G8)</f>
        <v>50808</v>
      </c>
      <c r="H9" s="347"/>
      <c r="I9" s="347"/>
      <c r="J9" s="347"/>
      <c r="K9" s="347"/>
      <c r="L9" s="347"/>
      <c r="M9" s="347">
        <f>SUM(M7:M8)</f>
        <v>30218</v>
      </c>
      <c r="N9" s="347">
        <f>SUM(N7:N8)</f>
        <v>7999</v>
      </c>
      <c r="O9" s="459">
        <f>SUM(O7:O8)</f>
        <v>2330</v>
      </c>
      <c r="P9" s="102">
        <v>296589</v>
      </c>
      <c r="Q9" s="102"/>
      <c r="R9" s="102"/>
      <c r="S9" s="21"/>
    </row>
    <row r="10" spans="1:19" ht="19.5" customHeight="1">
      <c r="A10" s="529" t="s">
        <v>486</v>
      </c>
      <c r="B10" s="329" t="s">
        <v>19</v>
      </c>
      <c r="C10" s="353">
        <f>0.0612530215915337</f>
        <v>0.0612530215915337</v>
      </c>
      <c r="D10" s="353">
        <f>0.0289440628102619</f>
        <v>0.0289440628102619</v>
      </c>
      <c r="E10" s="353">
        <f>0.0382128514056225</f>
        <v>0.0382128514056225</v>
      </c>
      <c r="F10" s="353" t="s">
        <v>19</v>
      </c>
      <c r="G10" s="353">
        <f>0.0944416652358591</f>
        <v>0.0944416652358591</v>
      </c>
      <c r="H10" s="362"/>
      <c r="I10" s="362"/>
      <c r="J10" s="362"/>
      <c r="K10" s="362"/>
      <c r="L10" s="362"/>
      <c r="M10" s="353">
        <f>0.0365392986698912</f>
        <v>0.0365392986698912</v>
      </c>
      <c r="N10" s="353">
        <f>0.155622568093385</f>
        <v>0.155622568093385</v>
      </c>
      <c r="O10" s="630">
        <f>0.0302204928664073</f>
        <v>0.0302204928664073</v>
      </c>
      <c r="P10" s="348">
        <f>P9/P16</f>
        <v>0.0723528981264637</v>
      </c>
      <c r="Q10" s="102"/>
      <c r="R10" s="102"/>
      <c r="S10" s="21"/>
    </row>
    <row r="11" spans="1:19" ht="19.5" customHeight="1">
      <c r="A11" s="667" t="s">
        <v>349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459"/>
      <c r="P11" s="102"/>
      <c r="Q11" s="102"/>
      <c r="R11" s="102"/>
      <c r="S11" s="21"/>
    </row>
    <row r="12" spans="1:19" ht="19.5" customHeight="1">
      <c r="A12" s="522" t="s">
        <v>317</v>
      </c>
      <c r="B12" s="347">
        <v>10731</v>
      </c>
      <c r="C12" s="347">
        <v>941</v>
      </c>
      <c r="D12" s="347">
        <v>5900</v>
      </c>
      <c r="E12" s="347">
        <v>48805</v>
      </c>
      <c r="F12" s="347">
        <v>11210</v>
      </c>
      <c r="G12" s="347">
        <f>SUM(H12:L12)</f>
        <v>14010</v>
      </c>
      <c r="H12" s="347">
        <v>3223</v>
      </c>
      <c r="I12" s="347">
        <v>1610</v>
      </c>
      <c r="J12" s="347">
        <v>3504</v>
      </c>
      <c r="K12" s="347">
        <v>3018</v>
      </c>
      <c r="L12" s="347">
        <v>2655</v>
      </c>
      <c r="M12" s="347" t="s">
        <v>19</v>
      </c>
      <c r="N12" s="347" t="s">
        <v>19</v>
      </c>
      <c r="O12" s="459">
        <v>7738</v>
      </c>
      <c r="P12" s="102">
        <v>153541</v>
      </c>
      <c r="Q12" s="102"/>
      <c r="R12" s="102"/>
      <c r="S12" s="21"/>
    </row>
    <row r="13" spans="1:19" ht="19.5" customHeight="1">
      <c r="A13" s="522" t="s">
        <v>319</v>
      </c>
      <c r="B13" s="347">
        <v>13836</v>
      </c>
      <c r="C13" s="347">
        <v>3713</v>
      </c>
      <c r="D13" s="347">
        <v>14000</v>
      </c>
      <c r="E13" s="347">
        <v>31507</v>
      </c>
      <c r="F13" s="347" t="s">
        <v>19</v>
      </c>
      <c r="G13" s="347">
        <f>SUM(H13:L13)</f>
        <v>33594</v>
      </c>
      <c r="H13" s="347">
        <v>4917</v>
      </c>
      <c r="I13" s="347" t="s">
        <v>19</v>
      </c>
      <c r="J13" s="347">
        <v>22662</v>
      </c>
      <c r="K13" s="347" t="s">
        <v>19</v>
      </c>
      <c r="L13" s="347">
        <v>6015</v>
      </c>
      <c r="M13" s="347" t="s">
        <v>19</v>
      </c>
      <c r="N13" s="347" t="s">
        <v>19</v>
      </c>
      <c r="O13" s="459">
        <v>6552</v>
      </c>
      <c r="P13" s="102">
        <v>144365</v>
      </c>
      <c r="Q13" s="102"/>
      <c r="R13" s="102"/>
      <c r="S13" s="21"/>
    </row>
    <row r="14" spans="1:19" ht="19.5" customHeight="1" hidden="1">
      <c r="A14" s="522" t="s">
        <v>318</v>
      </c>
      <c r="B14" s="347">
        <f aca="true" t="shared" si="0" ref="B14:G14">SUM(B12:B13)</f>
        <v>24567</v>
      </c>
      <c r="C14" s="347">
        <f t="shared" si="0"/>
        <v>4654</v>
      </c>
      <c r="D14" s="347">
        <f t="shared" si="0"/>
        <v>19900</v>
      </c>
      <c r="E14" s="347">
        <f t="shared" si="0"/>
        <v>80312</v>
      </c>
      <c r="F14" s="347">
        <f t="shared" si="0"/>
        <v>11210</v>
      </c>
      <c r="G14" s="347">
        <f t="shared" si="0"/>
        <v>47604</v>
      </c>
      <c r="H14" s="347"/>
      <c r="I14" s="347"/>
      <c r="J14" s="347"/>
      <c r="K14" s="347"/>
      <c r="L14" s="347"/>
      <c r="M14" s="347" t="s">
        <v>19</v>
      </c>
      <c r="N14" s="347" t="s">
        <v>19</v>
      </c>
      <c r="O14" s="459">
        <f>SUM(O12:O13)</f>
        <v>14290</v>
      </c>
      <c r="P14" s="102">
        <f>SUM(P12:P13)</f>
        <v>297906</v>
      </c>
      <c r="Q14" s="102"/>
      <c r="R14" s="102"/>
      <c r="S14" s="21"/>
    </row>
    <row r="15" spans="1:19" ht="19.5" customHeight="1" thickBot="1">
      <c r="A15" s="668" t="s">
        <v>486</v>
      </c>
      <c r="B15" s="634">
        <f>0.023</f>
        <v>0.023</v>
      </c>
      <c r="C15" s="634">
        <f>0.0242655398780216</f>
        <v>0.0242655398780216</v>
      </c>
      <c r="D15" s="634">
        <f>0.0606429616681629</f>
        <v>0.0606429616681629</v>
      </c>
      <c r="E15" s="634" t="s">
        <v>19</v>
      </c>
      <c r="F15" s="634">
        <f>F14/F16</f>
        <v>0.013972329552536458</v>
      </c>
      <c r="G15" s="634">
        <f>0.0884860854961391</f>
        <v>0.0884860854961391</v>
      </c>
      <c r="H15" s="636"/>
      <c r="I15" s="636"/>
      <c r="J15" s="636"/>
      <c r="K15" s="636"/>
      <c r="L15" s="636"/>
      <c r="M15" s="636" t="s">
        <v>19</v>
      </c>
      <c r="N15" s="636" t="s">
        <v>19</v>
      </c>
      <c r="O15" s="637">
        <f>0.185343709468223</f>
        <v>0.185343709468223</v>
      </c>
      <c r="P15" s="348">
        <f>P14/P16</f>
        <v>0.07267418032786885</v>
      </c>
      <c r="Q15" s="102"/>
      <c r="R15" s="102"/>
      <c r="S15" s="21"/>
    </row>
    <row r="16" spans="1:19" ht="12.75" hidden="1">
      <c r="A16" s="667" t="s">
        <v>119</v>
      </c>
      <c r="B16" s="350">
        <v>1071800</v>
      </c>
      <c r="C16" s="363">
        <v>191794.62</v>
      </c>
      <c r="D16" s="363">
        <v>328150.2</v>
      </c>
      <c r="E16" s="364">
        <f>'[2]ANNEX F.Table 2'!$F$17</f>
        <v>149400</v>
      </c>
      <c r="F16" s="364">
        <v>802300</v>
      </c>
      <c r="G16" s="363">
        <v>537982.89</v>
      </c>
      <c r="H16" s="365"/>
      <c r="I16" s="365"/>
      <c r="J16" s="365"/>
      <c r="K16" s="365"/>
      <c r="L16" s="365"/>
      <c r="M16" s="365">
        <v>827000</v>
      </c>
      <c r="N16" s="365">
        <v>51400</v>
      </c>
      <c r="O16" s="631">
        <v>77100</v>
      </c>
      <c r="P16" s="102">
        <v>4099200</v>
      </c>
      <c r="Q16" s="102"/>
      <c r="R16" s="102"/>
      <c r="S16" s="21"/>
    </row>
    <row r="17" spans="1:19" ht="19.5" customHeight="1" thickTop="1">
      <c r="A17" s="669" t="s">
        <v>328</v>
      </c>
      <c r="B17" s="351" t="s">
        <v>19</v>
      </c>
      <c r="C17" s="352">
        <f>0.0855185614695553</f>
        <v>0.0855185614695553</v>
      </c>
      <c r="D17" s="352">
        <f>0.0895870244784248</f>
        <v>0.0895870244784248</v>
      </c>
      <c r="E17" s="352" t="s">
        <v>19</v>
      </c>
      <c r="F17" s="352">
        <f>SUM(F10,F15)</f>
        <v>0.013972329552536458</v>
      </c>
      <c r="G17" s="352">
        <f>0.182927750731998</f>
        <v>0.182927750731998</v>
      </c>
      <c r="H17" s="351"/>
      <c r="I17" s="351"/>
      <c r="J17" s="351"/>
      <c r="K17" s="351"/>
      <c r="L17" s="351"/>
      <c r="M17" s="351" t="s">
        <v>19</v>
      </c>
      <c r="N17" s="351" t="s">
        <v>19</v>
      </c>
      <c r="O17" s="632">
        <f>0.21556420233463</f>
        <v>0.21556420233463</v>
      </c>
      <c r="P17" s="349">
        <f>SUM(P10,P15)</f>
        <v>0.14502707845433255</v>
      </c>
      <c r="Q17" s="102"/>
      <c r="R17" s="102"/>
      <c r="S17" s="21"/>
    </row>
    <row r="18" spans="1:19" ht="17.25" customHeight="1">
      <c r="A18" s="361" t="s">
        <v>493</v>
      </c>
      <c r="B18" s="94"/>
      <c r="C18" s="9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17.25" customHeight="1">
      <c r="A19" s="182" t="s">
        <v>494</v>
      </c>
      <c r="B19" s="94"/>
      <c r="C19" s="94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1:19" ht="17.25" customHeight="1">
      <c r="A20" s="182" t="s">
        <v>63</v>
      </c>
      <c r="B20" s="94"/>
      <c r="C20" s="94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14.25">
      <c r="A21" s="111" t="s">
        <v>495</v>
      </c>
      <c r="B21" s="94"/>
      <c r="C21" s="94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2.75">
      <c r="A22" s="182" t="s">
        <v>497</v>
      </c>
      <c r="B22" s="94"/>
      <c r="C22" s="94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2.75">
      <c r="A23" s="182" t="s">
        <v>496</v>
      </c>
      <c r="B23" s="94"/>
      <c r="C23" s="94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ht="14.25">
      <c r="A24" s="111" t="s">
        <v>479</v>
      </c>
      <c r="B24" s="94"/>
      <c r="C24" s="94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14.25">
      <c r="A25" s="111" t="s">
        <v>480</v>
      </c>
      <c r="B25" s="94"/>
      <c r="C25" s="94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14.25">
      <c r="A26" s="111" t="s">
        <v>481</v>
      </c>
      <c r="B26" s="94"/>
      <c r="C26" s="94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4.25">
      <c r="A27" s="111" t="s">
        <v>482</v>
      </c>
      <c r="B27" s="94"/>
      <c r="C27" s="94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14.25">
      <c r="A28" s="111" t="s">
        <v>483</v>
      </c>
      <c r="B28" s="94"/>
      <c r="C28" s="94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14.25">
      <c r="A29" s="111" t="s">
        <v>484</v>
      </c>
      <c r="B29" s="94"/>
      <c r="C29" s="94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4.25">
      <c r="A30" s="111" t="s">
        <v>485</v>
      </c>
      <c r="B30" s="94"/>
      <c r="C30" s="94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</sheetData>
  <printOptions horizontalCentered="1" verticalCentered="1"/>
  <pageMargins left="0.984251968503937" right="0.984251968503937" top="0.984251968503937" bottom="1.1023622047244095" header="0" footer="0"/>
  <pageSetup fitToHeight="1" fitToWidth="1" horizontalDpi="600" verticalDpi="600" orientation="landscape" paperSize="9" scale="97" r:id="rId1"/>
  <headerFooter alignWithMargins="0">
    <oddFooter>&amp;R21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A16" sqref="A16"/>
    </sheetView>
  </sheetViews>
  <sheetFormatPr defaultColWidth="9.140625" defaultRowHeight="12.75"/>
  <cols>
    <col min="1" max="1" width="42.57421875" style="0" customWidth="1"/>
    <col min="2" max="3" width="8.7109375" style="0" hidden="1" customWidth="1"/>
    <col min="4" max="7" width="8.7109375" style="0" customWidth="1"/>
    <col min="8" max="9" width="8.7109375" style="0" hidden="1" customWidth="1"/>
    <col min="10" max="13" width="8.7109375" style="0" customWidth="1"/>
  </cols>
  <sheetData>
    <row r="1" spans="1:14" ht="15">
      <c r="A1" s="155" t="s">
        <v>474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21" t="s">
        <v>473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8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9.5" customHeight="1">
      <c r="A4" s="612" t="s">
        <v>381</v>
      </c>
      <c r="B4" s="17"/>
      <c r="C4" s="354"/>
      <c r="D4" s="853" t="s">
        <v>331</v>
      </c>
      <c r="E4" s="854"/>
      <c r="F4" s="854"/>
      <c r="G4" s="854"/>
      <c r="H4" s="17"/>
      <c r="I4" s="354"/>
      <c r="J4" s="855" t="s">
        <v>332</v>
      </c>
      <c r="K4" s="854"/>
      <c r="L4" s="854"/>
      <c r="M4" s="854"/>
      <c r="N4" s="21"/>
    </row>
    <row r="5" spans="1:14" ht="19.5" customHeight="1">
      <c r="A5" s="56"/>
      <c r="B5" s="847" t="s">
        <v>49</v>
      </c>
      <c r="C5" s="812"/>
      <c r="D5" s="848" t="s">
        <v>334</v>
      </c>
      <c r="E5" s="849"/>
      <c r="F5" s="851" t="s">
        <v>335</v>
      </c>
      <c r="G5" s="849"/>
      <c r="H5" s="848" t="s">
        <v>49</v>
      </c>
      <c r="I5" s="849"/>
      <c r="J5" s="850" t="s">
        <v>334</v>
      </c>
      <c r="K5" s="849"/>
      <c r="L5" s="851" t="s">
        <v>335</v>
      </c>
      <c r="M5" s="852"/>
      <c r="N5" s="21"/>
    </row>
    <row r="6" spans="1:14" ht="19.5" customHeight="1">
      <c r="A6" s="56"/>
      <c r="B6" s="119">
        <v>1992</v>
      </c>
      <c r="C6" s="119">
        <v>1995</v>
      </c>
      <c r="D6" s="326">
        <v>1992</v>
      </c>
      <c r="E6" s="326">
        <v>1995</v>
      </c>
      <c r="F6" s="356">
        <v>1992</v>
      </c>
      <c r="G6" s="326">
        <v>1995</v>
      </c>
      <c r="H6" s="326">
        <v>1992</v>
      </c>
      <c r="I6" s="326">
        <v>1995</v>
      </c>
      <c r="J6" s="359">
        <v>1992</v>
      </c>
      <c r="K6" s="326">
        <v>1995</v>
      </c>
      <c r="L6" s="356">
        <v>1992</v>
      </c>
      <c r="M6" s="672">
        <v>1995</v>
      </c>
      <c r="N6" s="21"/>
    </row>
    <row r="7" spans="1:14" ht="19.5" customHeight="1">
      <c r="A7" s="667" t="s">
        <v>336</v>
      </c>
      <c r="B7" s="207">
        <v>1418</v>
      </c>
      <c r="C7" s="207">
        <v>5360</v>
      </c>
      <c r="D7" s="207">
        <v>657</v>
      </c>
      <c r="E7" s="207">
        <v>2468</v>
      </c>
      <c r="F7" s="206">
        <v>761</v>
      </c>
      <c r="G7" s="207">
        <v>3562</v>
      </c>
      <c r="H7" s="207">
        <v>1505</v>
      </c>
      <c r="I7" s="207">
        <v>2242</v>
      </c>
      <c r="J7" s="205">
        <v>901</v>
      </c>
      <c r="K7" s="207">
        <v>2136</v>
      </c>
      <c r="L7" s="206">
        <v>604</v>
      </c>
      <c r="M7" s="512">
        <v>105</v>
      </c>
      <c r="N7" s="21"/>
    </row>
    <row r="8" spans="1:14" ht="19.5" customHeight="1" hidden="1">
      <c r="A8" s="522" t="s">
        <v>378</v>
      </c>
      <c r="B8" s="207" t="s">
        <v>19</v>
      </c>
      <c r="C8" s="207">
        <v>2</v>
      </c>
      <c r="D8" s="207" t="s">
        <v>19</v>
      </c>
      <c r="E8" s="207">
        <v>1</v>
      </c>
      <c r="F8" s="206" t="s">
        <v>19</v>
      </c>
      <c r="G8" s="207">
        <v>4</v>
      </c>
      <c r="H8" s="207" t="s">
        <v>19</v>
      </c>
      <c r="I8" s="207">
        <v>1</v>
      </c>
      <c r="J8" s="205" t="s">
        <v>19</v>
      </c>
      <c r="K8" s="207">
        <v>2</v>
      </c>
      <c r="L8" s="206" t="s">
        <v>19</v>
      </c>
      <c r="M8" s="512">
        <v>0</v>
      </c>
      <c r="N8" s="21"/>
    </row>
    <row r="9" spans="1:14" ht="19.5" customHeight="1">
      <c r="A9" s="670" t="s">
        <v>382</v>
      </c>
      <c r="B9" s="207"/>
      <c r="C9" s="207"/>
      <c r="D9" s="207" t="s">
        <v>19</v>
      </c>
      <c r="E9" s="207">
        <f>E7-E8</f>
        <v>2467</v>
      </c>
      <c r="F9" s="206" t="s">
        <v>19</v>
      </c>
      <c r="G9" s="207">
        <f>G7-G8</f>
        <v>3558</v>
      </c>
      <c r="H9" s="207"/>
      <c r="I9" s="207"/>
      <c r="J9" s="205" t="s">
        <v>19</v>
      </c>
      <c r="K9" s="207">
        <f>K7-K8</f>
        <v>2134</v>
      </c>
      <c r="L9" s="206" t="s">
        <v>19</v>
      </c>
      <c r="M9" s="512">
        <f>M7</f>
        <v>105</v>
      </c>
      <c r="N9" s="21"/>
    </row>
    <row r="10" spans="1:14" ht="19.5" customHeight="1">
      <c r="A10" s="667" t="s">
        <v>337</v>
      </c>
      <c r="B10" s="207">
        <v>24353</v>
      </c>
      <c r="C10" s="207">
        <v>25268</v>
      </c>
      <c r="D10" s="207">
        <v>18647</v>
      </c>
      <c r="E10" s="207">
        <v>19194</v>
      </c>
      <c r="F10" s="206">
        <v>5706</v>
      </c>
      <c r="G10" s="207">
        <v>10817</v>
      </c>
      <c r="H10" s="207">
        <v>17116</v>
      </c>
      <c r="I10" s="207">
        <v>19728</v>
      </c>
      <c r="J10" s="205">
        <v>11501</v>
      </c>
      <c r="K10" s="207">
        <v>13330</v>
      </c>
      <c r="L10" s="206">
        <v>5614</v>
      </c>
      <c r="M10" s="512">
        <v>6396</v>
      </c>
      <c r="N10" s="21"/>
    </row>
    <row r="11" spans="1:14" ht="19.5" customHeight="1">
      <c r="A11" s="667" t="s">
        <v>338</v>
      </c>
      <c r="B11" s="207">
        <v>5847</v>
      </c>
      <c r="C11" s="207">
        <v>17049</v>
      </c>
      <c r="D11" s="207">
        <v>5020</v>
      </c>
      <c r="E11" s="207">
        <v>11021</v>
      </c>
      <c r="F11" s="206">
        <v>827</v>
      </c>
      <c r="G11" s="207">
        <v>7505</v>
      </c>
      <c r="H11" s="207">
        <v>9831</v>
      </c>
      <c r="I11" s="207">
        <v>16459</v>
      </c>
      <c r="J11" s="205">
        <v>7024</v>
      </c>
      <c r="K11" s="207">
        <v>8108</v>
      </c>
      <c r="L11" s="206">
        <v>2807</v>
      </c>
      <c r="M11" s="512">
        <v>8351</v>
      </c>
      <c r="N11" s="21"/>
    </row>
    <row r="12" spans="1:14" ht="19.5" customHeight="1">
      <c r="A12" s="671" t="s">
        <v>339</v>
      </c>
      <c r="B12" s="207" t="s">
        <v>19</v>
      </c>
      <c r="C12" s="207">
        <v>15458</v>
      </c>
      <c r="D12" s="207" t="s">
        <v>19</v>
      </c>
      <c r="E12" s="207">
        <v>9455</v>
      </c>
      <c r="F12" s="206" t="s">
        <v>19</v>
      </c>
      <c r="G12" s="207">
        <v>6845</v>
      </c>
      <c r="H12" s="207" t="s">
        <v>19</v>
      </c>
      <c r="I12" s="207">
        <v>12179</v>
      </c>
      <c r="J12" s="205" t="s">
        <v>19</v>
      </c>
      <c r="K12" s="207">
        <v>5578</v>
      </c>
      <c r="L12" s="206" t="s">
        <v>19</v>
      </c>
      <c r="M12" s="512">
        <v>6600</v>
      </c>
      <c r="N12" s="21"/>
    </row>
    <row r="13" spans="1:14" ht="19.5" customHeight="1" thickBot="1">
      <c r="A13" s="674" t="s">
        <v>379</v>
      </c>
      <c r="B13" s="675">
        <v>1405</v>
      </c>
      <c r="C13" s="675">
        <v>1801</v>
      </c>
      <c r="D13" s="675">
        <v>723</v>
      </c>
      <c r="E13" s="675">
        <v>1151</v>
      </c>
      <c r="F13" s="676">
        <v>682</v>
      </c>
      <c r="G13" s="675">
        <v>782</v>
      </c>
      <c r="H13" s="675">
        <v>370</v>
      </c>
      <c r="I13" s="675">
        <v>1432</v>
      </c>
      <c r="J13" s="677">
        <v>69</v>
      </c>
      <c r="K13" s="675">
        <v>708</v>
      </c>
      <c r="L13" s="676">
        <v>302</v>
      </c>
      <c r="M13" s="678">
        <v>724</v>
      </c>
      <c r="N13" s="21"/>
    </row>
    <row r="14" spans="1:14" ht="15.75" customHeight="1" thickTop="1">
      <c r="A14" s="667" t="s">
        <v>374</v>
      </c>
      <c r="B14" s="207"/>
      <c r="C14" s="207"/>
      <c r="D14" s="207"/>
      <c r="E14" s="207"/>
      <c r="F14" s="206"/>
      <c r="G14" s="207"/>
      <c r="H14" s="207"/>
      <c r="I14" s="207"/>
      <c r="J14" s="205"/>
      <c r="K14" s="207"/>
      <c r="L14" s="206"/>
      <c r="M14" s="512"/>
      <c r="N14" s="21"/>
    </row>
    <row r="15" spans="1:14" ht="16.5" customHeight="1">
      <c r="A15" s="669" t="s">
        <v>373</v>
      </c>
      <c r="B15" s="355">
        <f>SUM(B7:B13)</f>
        <v>33023</v>
      </c>
      <c r="C15" s="355">
        <f>SUM(C7:C10,C11,C13)</f>
        <v>49480</v>
      </c>
      <c r="D15" s="355">
        <f>SUM(D7:D13)</f>
        <v>25047</v>
      </c>
      <c r="E15" s="355">
        <v>33834</v>
      </c>
      <c r="F15" s="357">
        <f>SUM(F7:F13)</f>
        <v>7976</v>
      </c>
      <c r="G15" s="355">
        <v>22666</v>
      </c>
      <c r="H15" s="355">
        <f>SUM(H7:H13)</f>
        <v>28822</v>
      </c>
      <c r="I15" s="355">
        <f>SUM(I7:I10,I11,I13)</f>
        <v>39862</v>
      </c>
      <c r="J15" s="360">
        <f>SUM(J7:J13)</f>
        <v>19495</v>
      </c>
      <c r="K15" s="355">
        <v>24284</v>
      </c>
      <c r="L15" s="357">
        <f>SUM(L7:L13)</f>
        <v>9327</v>
      </c>
      <c r="M15" s="673">
        <v>15576</v>
      </c>
      <c r="N15" s="21"/>
    </row>
    <row r="16" spans="1:14" ht="18" customHeight="1">
      <c r="A16" s="361" t="s">
        <v>476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4.25">
      <c r="A17" s="111" t="s">
        <v>478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="21" customFormat="1" ht="12.75">
      <c r="A18" s="182" t="s">
        <v>477</v>
      </c>
    </row>
    <row r="19" s="21" customFormat="1" ht="12.75">
      <c r="A19" s="182" t="s">
        <v>376</v>
      </c>
    </row>
    <row r="20" s="21" customFormat="1" ht="14.25">
      <c r="A20" s="111" t="s">
        <v>475</v>
      </c>
    </row>
    <row r="21" s="21" customFormat="1" ht="12.75">
      <c r="A21" s="182"/>
    </row>
    <row r="22" spans="2:14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mergeCells count="8">
    <mergeCell ref="D4:G4"/>
    <mergeCell ref="J4:M4"/>
    <mergeCell ref="F5:G5"/>
    <mergeCell ref="D5:E5"/>
    <mergeCell ref="B5:C5"/>
    <mergeCell ref="H5:I5"/>
    <mergeCell ref="J5:K5"/>
    <mergeCell ref="L5:M5"/>
  </mergeCells>
  <printOptions horizontalCentered="1" verticalCentered="1"/>
  <pageMargins left="0.7480314960629921" right="0.7480314960629921" top="0.984251968503937" bottom="1.1023622047244095" header="0.5118110236220472" footer="0.31496062992125984"/>
  <pageSetup fitToHeight="1" fitToWidth="1" horizontalDpi="600" verticalDpi="600" orientation="landscape" paperSize="9" r:id="rId1"/>
  <headerFooter alignWithMargins="0">
    <oddFooter>&amp;R22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4"/>
  <sheetViews>
    <sheetView workbookViewId="0" topLeftCell="A3">
      <selection activeCell="B92" sqref="B92"/>
    </sheetView>
  </sheetViews>
  <sheetFormatPr defaultColWidth="9.140625" defaultRowHeight="12.75"/>
  <cols>
    <col min="2" max="2" width="34.421875" style="0" customWidth="1"/>
    <col min="3" max="3" width="10.8515625" style="15" customWidth="1"/>
    <col min="4" max="4" width="10.7109375" style="0" customWidth="1"/>
    <col min="5" max="5" width="10.7109375" style="1" hidden="1" customWidth="1"/>
    <col min="6" max="7" width="10.7109375" style="15" hidden="1" customWidth="1"/>
    <col min="8" max="8" width="12.7109375" style="15" customWidth="1"/>
    <col min="9" max="10" width="10.7109375" style="15" customWidth="1"/>
    <col min="11" max="12" width="11.57421875" style="15" bestFit="1" customWidth="1"/>
    <col min="13" max="14" width="10.7109375" style="15" customWidth="1"/>
    <col min="15" max="16" width="10.7109375" style="15" hidden="1" customWidth="1"/>
    <col min="17" max="18" width="10.140625" style="15" customWidth="1"/>
    <col min="19" max="21" width="10.7109375" style="15" hidden="1" customWidth="1"/>
    <col min="22" max="23" width="10.7109375" style="15" customWidth="1"/>
    <col min="24" max="29" width="10.7109375" style="15" hidden="1" customWidth="1"/>
    <col min="30" max="30" width="10.7109375" style="15" customWidth="1"/>
    <col min="31" max="32" width="10.7109375" style="15" hidden="1" customWidth="1"/>
    <col min="33" max="33" width="13.140625" style="15" hidden="1" customWidth="1"/>
    <col min="34" max="34" width="12.7109375" style="15" customWidth="1"/>
    <col min="35" max="35" width="8.8515625" style="15" hidden="1" customWidth="1"/>
    <col min="36" max="36" width="9.140625" style="15" customWidth="1"/>
    <col min="37" max="37" width="9.140625" style="165" customWidth="1"/>
    <col min="38" max="38" width="9.140625" style="166" customWidth="1"/>
    <col min="39" max="41" width="0" style="166" hidden="1" customWidth="1"/>
    <col min="42" max="48" width="9.140625" style="166" customWidth="1"/>
    <col min="49" max="50" width="0" style="166" hidden="1" customWidth="1"/>
    <col min="51" max="51" width="9.140625" style="166" customWidth="1"/>
  </cols>
  <sheetData>
    <row r="1" spans="1:36" ht="12.75">
      <c r="A1" s="21"/>
      <c r="B1" s="21"/>
      <c r="C1" s="167"/>
      <c r="D1" s="21"/>
      <c r="E1" s="49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</row>
    <row r="2" spans="1:36" ht="15.75">
      <c r="A2" s="21"/>
      <c r="B2" s="199" t="s">
        <v>388</v>
      </c>
      <c r="C2" s="167"/>
      <c r="D2" s="21"/>
      <c r="E2" s="49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6" ht="12.75">
      <c r="A3" s="21"/>
      <c r="B3" s="21"/>
      <c r="C3" s="167"/>
      <c r="D3" s="21"/>
      <c r="E3" s="49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6" ht="12.75" hidden="1">
      <c r="A4" s="21"/>
      <c r="B4" s="21"/>
      <c r="C4" s="370" t="s">
        <v>165</v>
      </c>
      <c r="D4" s="94" t="s">
        <v>118</v>
      </c>
      <c r="E4" s="172" t="s">
        <v>198</v>
      </c>
      <c r="F4" s="173"/>
      <c r="G4" s="173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370" t="s">
        <v>165</v>
      </c>
      <c r="AI4" s="370" t="s">
        <v>165</v>
      </c>
      <c r="AJ4" s="167"/>
    </row>
    <row r="5" spans="1:36" ht="15" hidden="1">
      <c r="A5" s="21"/>
      <c r="B5" s="155" t="s">
        <v>102</v>
      </c>
      <c r="C5" s="370" t="s">
        <v>171</v>
      </c>
      <c r="D5" s="85" t="s">
        <v>199</v>
      </c>
      <c r="E5" s="168" t="s">
        <v>200</v>
      </c>
      <c r="F5" s="168" t="s">
        <v>201</v>
      </c>
      <c r="G5" s="168" t="s">
        <v>202</v>
      </c>
      <c r="H5" s="168" t="s">
        <v>203</v>
      </c>
      <c r="I5" s="168" t="s">
        <v>204</v>
      </c>
      <c r="J5" s="168" t="s">
        <v>205</v>
      </c>
      <c r="K5" s="168" t="s">
        <v>206</v>
      </c>
      <c r="L5" s="168" t="s">
        <v>207</v>
      </c>
      <c r="M5" s="168" t="s">
        <v>208</v>
      </c>
      <c r="N5" s="168" t="s">
        <v>130</v>
      </c>
      <c r="O5" s="168" t="s">
        <v>131</v>
      </c>
      <c r="P5" s="168" t="s">
        <v>97</v>
      </c>
      <c r="Q5" s="168" t="s">
        <v>128</v>
      </c>
      <c r="R5" s="168" t="s">
        <v>209</v>
      </c>
      <c r="S5" s="168" t="s">
        <v>209</v>
      </c>
      <c r="T5" s="168" t="s">
        <v>76</v>
      </c>
      <c r="U5" s="168" t="s">
        <v>210</v>
      </c>
      <c r="V5" s="168" t="s">
        <v>134</v>
      </c>
      <c r="W5" s="168" t="s">
        <v>211</v>
      </c>
      <c r="X5" s="168" t="s">
        <v>212</v>
      </c>
      <c r="Y5" s="168" t="s">
        <v>213</v>
      </c>
      <c r="Z5" s="168" t="s">
        <v>214</v>
      </c>
      <c r="AA5" s="168" t="s">
        <v>192</v>
      </c>
      <c r="AB5" s="168" t="s">
        <v>215</v>
      </c>
      <c r="AC5" s="168" t="s">
        <v>192</v>
      </c>
      <c r="AD5" s="168" t="s">
        <v>216</v>
      </c>
      <c r="AE5" s="168" t="s">
        <v>217</v>
      </c>
      <c r="AF5" s="168" t="s">
        <v>218</v>
      </c>
      <c r="AG5" s="168" t="s">
        <v>139</v>
      </c>
      <c r="AH5" s="370" t="s">
        <v>171</v>
      </c>
      <c r="AI5" s="370"/>
      <c r="AJ5" s="167"/>
    </row>
    <row r="6" spans="1:36" ht="15" hidden="1">
      <c r="A6" s="21"/>
      <c r="B6" s="155"/>
      <c r="C6" s="370" t="s">
        <v>226</v>
      </c>
      <c r="D6" s="85" t="s">
        <v>219</v>
      </c>
      <c r="E6" s="168"/>
      <c r="F6" s="168"/>
      <c r="G6" s="168"/>
      <c r="H6" s="168"/>
      <c r="I6" s="168" t="s">
        <v>220</v>
      </c>
      <c r="J6" s="168" t="s">
        <v>221</v>
      </c>
      <c r="K6" s="168"/>
      <c r="L6" s="168"/>
      <c r="M6" s="168"/>
      <c r="N6" s="168"/>
      <c r="O6" s="168"/>
      <c r="P6" s="168"/>
      <c r="Q6" s="168"/>
      <c r="R6" s="168" t="s">
        <v>144</v>
      </c>
      <c r="S6" s="168"/>
      <c r="T6" s="168"/>
      <c r="U6" s="168" t="s">
        <v>133</v>
      </c>
      <c r="V6" s="168"/>
      <c r="W6" s="168" t="s">
        <v>222</v>
      </c>
      <c r="X6" s="168" t="s">
        <v>223</v>
      </c>
      <c r="Y6" s="168"/>
      <c r="Z6" s="168"/>
      <c r="AA6" s="168" t="s">
        <v>224</v>
      </c>
      <c r="AB6" s="168" t="s">
        <v>80</v>
      </c>
      <c r="AC6" s="168" t="s">
        <v>145</v>
      </c>
      <c r="AD6" s="168" t="s">
        <v>225</v>
      </c>
      <c r="AE6" s="168"/>
      <c r="AF6" s="168" t="s">
        <v>80</v>
      </c>
      <c r="AG6" s="168"/>
      <c r="AH6" s="370" t="s">
        <v>227</v>
      </c>
      <c r="AI6" s="370"/>
      <c r="AJ6" s="167"/>
    </row>
    <row r="7" spans="1:36" ht="12.75" hidden="1">
      <c r="A7" s="21"/>
      <c r="B7" s="94" t="s">
        <v>177</v>
      </c>
      <c r="C7" s="370" t="s">
        <v>176</v>
      </c>
      <c r="D7" s="85" t="s">
        <v>202</v>
      </c>
      <c r="E7" s="168"/>
      <c r="F7" s="168"/>
      <c r="G7" s="168"/>
      <c r="H7" s="168"/>
      <c r="I7" s="168"/>
      <c r="J7" s="168"/>
      <c r="K7" s="168"/>
      <c r="L7" s="168"/>
      <c r="M7" s="168"/>
      <c r="N7" s="168" t="s">
        <v>97</v>
      </c>
      <c r="O7" s="168"/>
      <c r="P7" s="168"/>
      <c r="Q7" s="168"/>
      <c r="R7" s="168" t="s">
        <v>76</v>
      </c>
      <c r="S7" s="168"/>
      <c r="T7" s="168"/>
      <c r="U7" s="168"/>
      <c r="V7" s="168"/>
      <c r="W7" s="168" t="s">
        <v>80</v>
      </c>
      <c r="X7" s="168"/>
      <c r="Y7" s="168"/>
      <c r="Z7" s="168"/>
      <c r="AA7" s="168"/>
      <c r="AB7" s="168"/>
      <c r="AC7" s="168"/>
      <c r="AD7" s="168" t="s">
        <v>80</v>
      </c>
      <c r="AE7" s="168"/>
      <c r="AF7" s="168"/>
      <c r="AG7" s="168"/>
      <c r="AH7" s="370" t="s">
        <v>228</v>
      </c>
      <c r="AI7" s="370"/>
      <c r="AJ7" s="167"/>
    </row>
    <row r="8" spans="1:36" ht="12.75" hidden="1">
      <c r="A8" s="21"/>
      <c r="B8" s="94" t="s">
        <v>180</v>
      </c>
      <c r="C8" s="167"/>
      <c r="D8" s="85"/>
      <c r="E8" s="4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</row>
    <row r="9" spans="1:36" ht="12.75" hidden="1">
      <c r="A9" s="21"/>
      <c r="B9" s="76" t="s">
        <v>229</v>
      </c>
      <c r="C9" s="170">
        <v>8223</v>
      </c>
      <c r="D9" s="49">
        <v>53</v>
      </c>
      <c r="E9" s="171">
        <v>46</v>
      </c>
      <c r="F9" s="169" t="s">
        <v>230</v>
      </c>
      <c r="G9" s="169" t="s">
        <v>19</v>
      </c>
      <c r="H9" s="169">
        <v>86</v>
      </c>
      <c r="I9" s="170">
        <v>53</v>
      </c>
      <c r="J9" s="169">
        <v>96</v>
      </c>
      <c r="K9" s="170">
        <v>25</v>
      </c>
      <c r="L9" s="170">
        <v>20</v>
      </c>
      <c r="M9" s="170">
        <v>242</v>
      </c>
      <c r="N9" s="170">
        <f aca="true" t="shared" si="0" ref="N9:N24">SUM(O9:P9)</f>
        <v>683</v>
      </c>
      <c r="O9" s="170">
        <v>526</v>
      </c>
      <c r="P9" s="170">
        <v>157</v>
      </c>
      <c r="Q9" s="170">
        <v>33</v>
      </c>
      <c r="R9" s="170">
        <f aca="true" t="shared" si="1" ref="R9:R24">SUM(S9:U9)</f>
        <v>2538</v>
      </c>
      <c r="S9" s="170">
        <v>1169</v>
      </c>
      <c r="T9" s="170">
        <v>1283</v>
      </c>
      <c r="U9" s="170">
        <v>86</v>
      </c>
      <c r="V9" s="170">
        <v>77</v>
      </c>
      <c r="W9" s="170">
        <f aca="true" t="shared" si="2" ref="W9:W24">SUM(X9:AC9)</f>
        <v>906</v>
      </c>
      <c r="X9" s="170">
        <v>50</v>
      </c>
      <c r="Y9" s="170">
        <v>286</v>
      </c>
      <c r="Z9" s="170">
        <v>82</v>
      </c>
      <c r="AA9" s="170">
        <v>241</v>
      </c>
      <c r="AB9" s="170">
        <v>75</v>
      </c>
      <c r="AC9" s="170">
        <v>172</v>
      </c>
      <c r="AD9" s="170">
        <f aca="true" t="shared" si="3" ref="AD9:AD24">SUM(AE9:AF9)</f>
        <v>273</v>
      </c>
      <c r="AE9" s="170">
        <v>94</v>
      </c>
      <c r="AF9" s="167">
        <v>179</v>
      </c>
      <c r="AG9" s="170">
        <f aca="true" t="shared" si="4" ref="AG9:AG24">C9-SUM(AD9,W9,V9,R9,Q9,M9,L9,K9,J9,I9,H9,D9)</f>
        <v>3821</v>
      </c>
      <c r="AH9" s="167">
        <v>4594</v>
      </c>
      <c r="AI9" s="167">
        <v>12817</v>
      </c>
      <c r="AJ9" s="167"/>
    </row>
    <row r="10" spans="1:36" ht="12.75" hidden="1">
      <c r="A10" s="21"/>
      <c r="B10" s="76" t="s">
        <v>231</v>
      </c>
      <c r="C10" s="170">
        <v>17971</v>
      </c>
      <c r="D10" s="49">
        <f aca="true" t="shared" si="5" ref="D10:D30">SUM(E10:G10)</f>
        <v>552</v>
      </c>
      <c r="E10" s="171">
        <v>538</v>
      </c>
      <c r="F10" s="169" t="s">
        <v>232</v>
      </c>
      <c r="G10" s="170">
        <v>14</v>
      </c>
      <c r="H10" s="170">
        <v>110</v>
      </c>
      <c r="I10" s="170">
        <v>560</v>
      </c>
      <c r="J10" s="170">
        <v>712</v>
      </c>
      <c r="K10" s="170">
        <v>104</v>
      </c>
      <c r="L10" s="170">
        <v>137</v>
      </c>
      <c r="M10" s="170">
        <v>2615</v>
      </c>
      <c r="N10" s="170">
        <f t="shared" si="0"/>
        <v>497</v>
      </c>
      <c r="O10" s="170">
        <v>299</v>
      </c>
      <c r="P10" s="170">
        <v>198</v>
      </c>
      <c r="Q10" s="170">
        <v>157</v>
      </c>
      <c r="R10" s="170">
        <f t="shared" si="1"/>
        <v>331</v>
      </c>
      <c r="S10" s="170">
        <v>147</v>
      </c>
      <c r="T10" s="170">
        <v>170</v>
      </c>
      <c r="U10" s="170">
        <v>14</v>
      </c>
      <c r="V10" s="170">
        <v>13</v>
      </c>
      <c r="W10" s="170">
        <f t="shared" si="2"/>
        <v>221</v>
      </c>
      <c r="X10" s="170">
        <v>10</v>
      </c>
      <c r="Y10" s="170">
        <v>35</v>
      </c>
      <c r="Z10" s="170">
        <v>16</v>
      </c>
      <c r="AA10" s="170">
        <v>38</v>
      </c>
      <c r="AB10" s="170">
        <v>71</v>
      </c>
      <c r="AC10" s="170">
        <v>51</v>
      </c>
      <c r="AD10" s="170">
        <f t="shared" si="3"/>
        <v>161</v>
      </c>
      <c r="AE10" s="170">
        <v>41</v>
      </c>
      <c r="AF10" s="170">
        <v>120</v>
      </c>
      <c r="AG10" s="170">
        <f t="shared" si="4"/>
        <v>12298</v>
      </c>
      <c r="AH10" s="167">
        <v>34867</v>
      </c>
      <c r="AI10" s="167">
        <v>52838</v>
      </c>
      <c r="AJ10" s="167"/>
    </row>
    <row r="11" spans="1:36" ht="12.75" hidden="1">
      <c r="A11" s="21"/>
      <c r="B11" s="76" t="s">
        <v>233</v>
      </c>
      <c r="C11" s="170">
        <v>99</v>
      </c>
      <c r="D11" s="49">
        <f t="shared" si="5"/>
        <v>0</v>
      </c>
      <c r="E11" s="371" t="s">
        <v>19</v>
      </c>
      <c r="F11" s="169" t="s">
        <v>19</v>
      </c>
      <c r="G11" s="169" t="s">
        <v>19</v>
      </c>
      <c r="H11" s="170">
        <v>0</v>
      </c>
      <c r="I11" s="170">
        <v>0</v>
      </c>
      <c r="J11" s="170">
        <v>1</v>
      </c>
      <c r="K11" s="170">
        <v>0</v>
      </c>
      <c r="L11" s="169" t="s">
        <v>19</v>
      </c>
      <c r="M11" s="170">
        <v>3</v>
      </c>
      <c r="N11" s="170">
        <f t="shared" si="0"/>
        <v>1</v>
      </c>
      <c r="O11" s="170">
        <v>0</v>
      </c>
      <c r="P11" s="170">
        <v>1</v>
      </c>
      <c r="Q11" s="169" t="s">
        <v>19</v>
      </c>
      <c r="R11" s="170">
        <f t="shared" si="1"/>
        <v>0</v>
      </c>
      <c r="S11" s="169" t="s">
        <v>19</v>
      </c>
      <c r="T11" s="169" t="s">
        <v>19</v>
      </c>
      <c r="U11" s="169" t="s">
        <v>19</v>
      </c>
      <c r="V11" s="170">
        <v>0</v>
      </c>
      <c r="W11" s="170">
        <f t="shared" si="2"/>
        <v>0</v>
      </c>
      <c r="X11" s="169" t="s">
        <v>19</v>
      </c>
      <c r="Y11" s="169" t="s">
        <v>19</v>
      </c>
      <c r="Z11" s="169" t="s">
        <v>19</v>
      </c>
      <c r="AA11" s="169" t="s">
        <v>19</v>
      </c>
      <c r="AB11" s="170">
        <v>0</v>
      </c>
      <c r="AC11" s="169" t="s">
        <v>19</v>
      </c>
      <c r="AD11" s="170">
        <f t="shared" si="3"/>
        <v>0</v>
      </c>
      <c r="AE11" s="169" t="s">
        <v>19</v>
      </c>
      <c r="AF11" s="169" t="s">
        <v>19</v>
      </c>
      <c r="AG11" s="170">
        <f t="shared" si="4"/>
        <v>95</v>
      </c>
      <c r="AH11" s="167">
        <v>34338</v>
      </c>
      <c r="AI11" s="167">
        <v>34437</v>
      </c>
      <c r="AJ11" s="167"/>
    </row>
    <row r="12" spans="1:36" ht="12.75" hidden="1">
      <c r="A12" s="21"/>
      <c r="B12" s="76" t="s">
        <v>234</v>
      </c>
      <c r="C12" s="170">
        <v>8288</v>
      </c>
      <c r="D12" s="49">
        <f t="shared" si="5"/>
        <v>105</v>
      </c>
      <c r="E12" s="169">
        <v>105</v>
      </c>
      <c r="F12" s="169">
        <v>0</v>
      </c>
      <c r="G12" s="169" t="s">
        <v>19</v>
      </c>
      <c r="H12" s="169">
        <v>23</v>
      </c>
      <c r="I12" s="169">
        <v>44</v>
      </c>
      <c r="J12" s="169">
        <v>40</v>
      </c>
      <c r="K12" s="169">
        <v>13</v>
      </c>
      <c r="L12" s="169">
        <v>16</v>
      </c>
      <c r="M12" s="169">
        <v>222</v>
      </c>
      <c r="N12" s="170">
        <f t="shared" si="0"/>
        <v>679</v>
      </c>
      <c r="O12" s="169">
        <v>494</v>
      </c>
      <c r="P12" s="169">
        <v>185</v>
      </c>
      <c r="Q12" s="170">
        <v>705</v>
      </c>
      <c r="R12" s="170">
        <f t="shared" si="1"/>
        <v>2764</v>
      </c>
      <c r="S12" s="169">
        <v>1073</v>
      </c>
      <c r="T12" s="169">
        <v>1416</v>
      </c>
      <c r="U12" s="169">
        <v>275</v>
      </c>
      <c r="V12" s="170">
        <v>64</v>
      </c>
      <c r="W12" s="170">
        <f t="shared" si="2"/>
        <v>998</v>
      </c>
      <c r="X12" s="169">
        <v>158</v>
      </c>
      <c r="Y12" s="169">
        <v>173</v>
      </c>
      <c r="Z12" s="169">
        <v>85</v>
      </c>
      <c r="AA12" s="169">
        <v>141</v>
      </c>
      <c r="AB12" s="169">
        <v>153</v>
      </c>
      <c r="AC12" s="169">
        <v>288</v>
      </c>
      <c r="AD12" s="170">
        <f t="shared" si="3"/>
        <v>236</v>
      </c>
      <c r="AE12" s="169">
        <v>39</v>
      </c>
      <c r="AF12" s="170">
        <v>197</v>
      </c>
      <c r="AG12" s="170">
        <f t="shared" si="4"/>
        <v>3058</v>
      </c>
      <c r="AH12" s="167">
        <v>6213</v>
      </c>
      <c r="AI12" s="167">
        <v>14501</v>
      </c>
      <c r="AJ12" s="167"/>
    </row>
    <row r="13" spans="1:36" ht="12.75" hidden="1">
      <c r="A13" s="21"/>
      <c r="B13" s="76" t="s">
        <v>235</v>
      </c>
      <c r="C13" s="170">
        <v>33546</v>
      </c>
      <c r="D13" s="49">
        <f t="shared" si="5"/>
        <v>70</v>
      </c>
      <c r="E13" s="171">
        <v>70</v>
      </c>
      <c r="F13" s="169" t="s">
        <v>19</v>
      </c>
      <c r="G13" s="169" t="s">
        <v>19</v>
      </c>
      <c r="H13" s="170">
        <v>202</v>
      </c>
      <c r="I13" s="170">
        <v>118</v>
      </c>
      <c r="J13" s="170">
        <v>229</v>
      </c>
      <c r="K13" s="170">
        <v>65</v>
      </c>
      <c r="L13" s="170">
        <v>54</v>
      </c>
      <c r="M13" s="170">
        <v>640</v>
      </c>
      <c r="N13" s="170">
        <f t="shared" si="0"/>
        <v>656</v>
      </c>
      <c r="O13" s="170">
        <v>495</v>
      </c>
      <c r="P13" s="170">
        <v>161</v>
      </c>
      <c r="Q13" s="170">
        <v>91</v>
      </c>
      <c r="R13" s="170">
        <f t="shared" si="1"/>
        <v>2231</v>
      </c>
      <c r="S13" s="170">
        <v>970</v>
      </c>
      <c r="T13" s="170">
        <v>1196</v>
      </c>
      <c r="U13" s="170">
        <v>65</v>
      </c>
      <c r="V13" s="170">
        <v>16</v>
      </c>
      <c r="W13" s="170">
        <f t="shared" si="2"/>
        <v>568</v>
      </c>
      <c r="X13" s="170">
        <v>55</v>
      </c>
      <c r="Y13" s="170">
        <v>75</v>
      </c>
      <c r="Z13" s="170">
        <v>20</v>
      </c>
      <c r="AA13" s="170">
        <v>183</v>
      </c>
      <c r="AB13" s="170">
        <v>100</v>
      </c>
      <c r="AC13" s="170">
        <v>135</v>
      </c>
      <c r="AD13" s="170">
        <f t="shared" si="3"/>
        <v>120</v>
      </c>
      <c r="AE13" s="170">
        <v>20</v>
      </c>
      <c r="AF13" s="170">
        <v>100</v>
      </c>
      <c r="AG13" s="170">
        <f t="shared" si="4"/>
        <v>29142</v>
      </c>
      <c r="AH13" s="167">
        <v>7211</v>
      </c>
      <c r="AI13" s="167">
        <v>40758</v>
      </c>
      <c r="AJ13" s="167"/>
    </row>
    <row r="14" spans="1:36" ht="12.75" hidden="1">
      <c r="A14" s="21"/>
      <c r="B14" s="76" t="s">
        <v>76</v>
      </c>
      <c r="C14" s="170">
        <v>10187</v>
      </c>
      <c r="D14" s="49">
        <f t="shared" si="5"/>
        <v>120</v>
      </c>
      <c r="E14" s="167">
        <v>104</v>
      </c>
      <c r="F14" s="167">
        <v>0</v>
      </c>
      <c r="G14" s="167">
        <v>16</v>
      </c>
      <c r="H14" s="170">
        <v>35</v>
      </c>
      <c r="I14" s="170">
        <v>30</v>
      </c>
      <c r="J14" s="170">
        <v>61</v>
      </c>
      <c r="K14" s="170">
        <v>23</v>
      </c>
      <c r="L14" s="170">
        <v>22</v>
      </c>
      <c r="M14" s="170">
        <v>370</v>
      </c>
      <c r="N14" s="170">
        <f t="shared" si="0"/>
        <v>417</v>
      </c>
      <c r="O14" s="170">
        <v>325</v>
      </c>
      <c r="P14" s="170">
        <v>92</v>
      </c>
      <c r="Q14" s="170">
        <v>114</v>
      </c>
      <c r="R14" s="170">
        <f t="shared" si="1"/>
        <v>3036</v>
      </c>
      <c r="S14" s="170">
        <v>850</v>
      </c>
      <c r="T14" s="170">
        <v>2140</v>
      </c>
      <c r="U14" s="170">
        <v>46</v>
      </c>
      <c r="V14" s="170">
        <v>19</v>
      </c>
      <c r="W14" s="170">
        <f t="shared" si="2"/>
        <v>703</v>
      </c>
      <c r="X14" s="170">
        <v>39</v>
      </c>
      <c r="Y14" s="170">
        <v>68</v>
      </c>
      <c r="Z14" s="170">
        <v>34</v>
      </c>
      <c r="AA14" s="170">
        <v>78</v>
      </c>
      <c r="AB14" s="170">
        <v>372</v>
      </c>
      <c r="AC14" s="170">
        <v>112</v>
      </c>
      <c r="AD14" s="170">
        <f t="shared" si="3"/>
        <v>121</v>
      </c>
      <c r="AE14" s="170">
        <v>34</v>
      </c>
      <c r="AF14" s="170">
        <v>87</v>
      </c>
      <c r="AG14" s="170">
        <f t="shared" si="4"/>
        <v>5533</v>
      </c>
      <c r="AH14" s="167">
        <v>10640</v>
      </c>
      <c r="AI14" s="167">
        <v>20827</v>
      </c>
      <c r="AJ14" s="167"/>
    </row>
    <row r="15" spans="1:36" ht="12.75" hidden="1">
      <c r="A15" s="21"/>
      <c r="B15" s="76" t="s">
        <v>236</v>
      </c>
      <c r="C15" s="170">
        <v>3759</v>
      </c>
      <c r="D15" s="49">
        <f t="shared" si="5"/>
        <v>0</v>
      </c>
      <c r="E15" s="371" t="s">
        <v>19</v>
      </c>
      <c r="F15" s="169" t="s">
        <v>19</v>
      </c>
      <c r="G15" s="169" t="s">
        <v>19</v>
      </c>
      <c r="H15" s="170">
        <v>1</v>
      </c>
      <c r="I15" s="170">
        <v>1</v>
      </c>
      <c r="J15" s="170">
        <v>1</v>
      </c>
      <c r="K15" s="170">
        <v>0</v>
      </c>
      <c r="L15" s="170">
        <v>0</v>
      </c>
      <c r="M15" s="170">
        <v>123</v>
      </c>
      <c r="N15" s="170">
        <f t="shared" si="0"/>
        <v>132</v>
      </c>
      <c r="O15" s="170">
        <v>74</v>
      </c>
      <c r="P15" s="170">
        <v>58</v>
      </c>
      <c r="Q15" s="170">
        <v>22</v>
      </c>
      <c r="R15" s="170">
        <f t="shared" si="1"/>
        <v>2965</v>
      </c>
      <c r="S15" s="170">
        <v>942</v>
      </c>
      <c r="T15" s="170">
        <v>1674</v>
      </c>
      <c r="U15" s="170">
        <v>349</v>
      </c>
      <c r="V15" s="170">
        <v>3</v>
      </c>
      <c r="W15" s="170">
        <f t="shared" si="2"/>
        <v>309</v>
      </c>
      <c r="X15" s="170">
        <v>11</v>
      </c>
      <c r="Y15" s="170">
        <v>21</v>
      </c>
      <c r="Z15" s="170">
        <v>12</v>
      </c>
      <c r="AA15" s="170">
        <v>95</v>
      </c>
      <c r="AB15" s="170">
        <v>60</v>
      </c>
      <c r="AC15" s="170">
        <v>110</v>
      </c>
      <c r="AD15" s="170">
        <f t="shared" si="3"/>
        <v>7</v>
      </c>
      <c r="AE15" s="170">
        <v>2</v>
      </c>
      <c r="AF15" s="167">
        <v>5</v>
      </c>
      <c r="AG15" s="170">
        <f t="shared" si="4"/>
        <v>327</v>
      </c>
      <c r="AH15" s="167">
        <v>1328</v>
      </c>
      <c r="AI15" s="167">
        <v>5086</v>
      </c>
      <c r="AJ15" s="167"/>
    </row>
    <row r="16" spans="1:36" ht="12.75" hidden="1">
      <c r="A16" s="21"/>
      <c r="B16" s="76" t="s">
        <v>237</v>
      </c>
      <c r="C16" s="170">
        <v>1600</v>
      </c>
      <c r="D16" s="49">
        <f t="shared" si="5"/>
        <v>0</v>
      </c>
      <c r="E16" s="371" t="s">
        <v>19</v>
      </c>
      <c r="F16" s="170">
        <v>0</v>
      </c>
      <c r="G16" s="169" t="s">
        <v>19</v>
      </c>
      <c r="H16" s="169" t="s">
        <v>19</v>
      </c>
      <c r="I16" s="169" t="s">
        <v>19</v>
      </c>
      <c r="J16" s="169" t="s">
        <v>19</v>
      </c>
      <c r="K16" s="169" t="s">
        <v>19</v>
      </c>
      <c r="L16" s="169" t="s">
        <v>19</v>
      </c>
      <c r="M16" s="170">
        <v>174</v>
      </c>
      <c r="N16" s="170">
        <f t="shared" si="0"/>
        <v>35</v>
      </c>
      <c r="O16" s="170">
        <v>9</v>
      </c>
      <c r="P16" s="170">
        <v>26</v>
      </c>
      <c r="Q16" s="170">
        <v>4</v>
      </c>
      <c r="R16" s="170">
        <f t="shared" si="1"/>
        <v>294</v>
      </c>
      <c r="S16" s="170">
        <v>155</v>
      </c>
      <c r="T16" s="170">
        <v>135</v>
      </c>
      <c r="U16" s="170">
        <v>4</v>
      </c>
      <c r="V16" s="170">
        <v>2</v>
      </c>
      <c r="W16" s="170">
        <f t="shared" si="2"/>
        <v>351</v>
      </c>
      <c r="X16" s="170">
        <v>141</v>
      </c>
      <c r="Y16" s="170">
        <v>20</v>
      </c>
      <c r="Z16" s="170">
        <v>6</v>
      </c>
      <c r="AA16" s="170">
        <v>67</v>
      </c>
      <c r="AB16" s="170">
        <v>12</v>
      </c>
      <c r="AC16" s="170">
        <v>105</v>
      </c>
      <c r="AD16" s="170">
        <f t="shared" si="3"/>
        <v>73</v>
      </c>
      <c r="AE16" s="170">
        <v>0</v>
      </c>
      <c r="AF16" s="170">
        <v>73</v>
      </c>
      <c r="AG16" s="170">
        <f t="shared" si="4"/>
        <v>702</v>
      </c>
      <c r="AH16" s="167">
        <v>2341</v>
      </c>
      <c r="AI16" s="167">
        <v>3941</v>
      </c>
      <c r="AJ16" s="167"/>
    </row>
    <row r="17" spans="1:36" ht="12.75" hidden="1">
      <c r="A17" s="21"/>
      <c r="B17" s="76" t="s">
        <v>238</v>
      </c>
      <c r="C17" s="170">
        <v>5214</v>
      </c>
      <c r="D17" s="49">
        <f t="shared" si="5"/>
        <v>53</v>
      </c>
      <c r="E17" s="171">
        <v>53</v>
      </c>
      <c r="F17" s="170">
        <v>0</v>
      </c>
      <c r="G17" s="169" t="s">
        <v>19</v>
      </c>
      <c r="H17" s="170">
        <v>20</v>
      </c>
      <c r="I17" s="170">
        <v>11</v>
      </c>
      <c r="J17" s="170">
        <v>22</v>
      </c>
      <c r="K17" s="170">
        <v>6</v>
      </c>
      <c r="L17" s="170">
        <v>5</v>
      </c>
      <c r="M17" s="170">
        <v>384</v>
      </c>
      <c r="N17" s="170">
        <f t="shared" si="0"/>
        <v>346</v>
      </c>
      <c r="O17" s="170">
        <v>271</v>
      </c>
      <c r="P17" s="170">
        <v>75</v>
      </c>
      <c r="Q17" s="170">
        <v>26</v>
      </c>
      <c r="R17" s="170">
        <f t="shared" si="1"/>
        <v>1180</v>
      </c>
      <c r="S17" s="170">
        <v>505</v>
      </c>
      <c r="T17" s="170">
        <v>653</v>
      </c>
      <c r="U17" s="170">
        <v>22</v>
      </c>
      <c r="V17" s="170">
        <v>43</v>
      </c>
      <c r="W17" s="170">
        <f t="shared" si="2"/>
        <v>1726</v>
      </c>
      <c r="X17" s="170">
        <v>106</v>
      </c>
      <c r="Y17" s="170">
        <v>502</v>
      </c>
      <c r="Z17" s="170">
        <v>140</v>
      </c>
      <c r="AA17" s="170">
        <v>359</v>
      </c>
      <c r="AB17" s="170">
        <v>280</v>
      </c>
      <c r="AC17" s="170">
        <v>339</v>
      </c>
      <c r="AD17" s="170">
        <f t="shared" si="3"/>
        <v>81</v>
      </c>
      <c r="AE17" s="170">
        <v>7</v>
      </c>
      <c r="AF17" s="170">
        <v>74</v>
      </c>
      <c r="AG17" s="170">
        <f t="shared" si="4"/>
        <v>1657</v>
      </c>
      <c r="AH17" s="167">
        <v>2030</v>
      </c>
      <c r="AI17" s="167">
        <v>7245</v>
      </c>
      <c r="AJ17" s="167"/>
    </row>
    <row r="18" spans="1:36" ht="12.75" hidden="1">
      <c r="A18" s="21"/>
      <c r="B18" s="76" t="s">
        <v>239</v>
      </c>
      <c r="C18" s="170">
        <v>5583</v>
      </c>
      <c r="D18" s="49">
        <f t="shared" si="5"/>
        <v>42</v>
      </c>
      <c r="E18" s="171">
        <v>42</v>
      </c>
      <c r="F18" s="169" t="s">
        <v>19</v>
      </c>
      <c r="G18" s="169" t="s">
        <v>19</v>
      </c>
      <c r="H18" s="170">
        <v>39</v>
      </c>
      <c r="I18" s="170">
        <v>22</v>
      </c>
      <c r="J18" s="170">
        <v>43</v>
      </c>
      <c r="K18" s="170">
        <v>12</v>
      </c>
      <c r="L18" s="170">
        <v>9</v>
      </c>
      <c r="M18" s="170">
        <v>534</v>
      </c>
      <c r="N18" s="170">
        <f t="shared" si="0"/>
        <v>554</v>
      </c>
      <c r="O18" s="170">
        <v>329</v>
      </c>
      <c r="P18" s="170">
        <v>225</v>
      </c>
      <c r="Q18" s="170">
        <v>34</v>
      </c>
      <c r="R18" s="170">
        <f t="shared" si="1"/>
        <v>1299</v>
      </c>
      <c r="S18" s="170">
        <v>621</v>
      </c>
      <c r="T18" s="170">
        <v>667</v>
      </c>
      <c r="U18" s="170">
        <v>11</v>
      </c>
      <c r="V18" s="170">
        <v>7</v>
      </c>
      <c r="W18" s="170">
        <f t="shared" si="2"/>
        <v>1248</v>
      </c>
      <c r="X18" s="170">
        <v>82</v>
      </c>
      <c r="Y18" s="170">
        <v>173</v>
      </c>
      <c r="Z18" s="170">
        <v>118</v>
      </c>
      <c r="AA18" s="170">
        <v>411</v>
      </c>
      <c r="AB18" s="170">
        <v>120</v>
      </c>
      <c r="AC18" s="170">
        <v>344</v>
      </c>
      <c r="AD18" s="170">
        <f t="shared" si="3"/>
        <v>116</v>
      </c>
      <c r="AE18" s="170">
        <v>9</v>
      </c>
      <c r="AF18" s="170">
        <v>107</v>
      </c>
      <c r="AG18" s="170">
        <f t="shared" si="4"/>
        <v>2178</v>
      </c>
      <c r="AH18" s="167">
        <v>116</v>
      </c>
      <c r="AI18" s="167">
        <v>5698</v>
      </c>
      <c r="AJ18" s="167"/>
    </row>
    <row r="19" spans="1:36" ht="12.75" hidden="1">
      <c r="A19" s="21"/>
      <c r="B19" s="76" t="s">
        <v>240</v>
      </c>
      <c r="C19" s="170">
        <v>8797</v>
      </c>
      <c r="D19" s="49">
        <f t="shared" si="5"/>
        <v>63</v>
      </c>
      <c r="E19" s="171">
        <v>63</v>
      </c>
      <c r="F19" s="169" t="s">
        <v>19</v>
      </c>
      <c r="G19" s="169" t="s">
        <v>19</v>
      </c>
      <c r="H19" s="170">
        <v>100</v>
      </c>
      <c r="I19" s="170">
        <v>142</v>
      </c>
      <c r="J19" s="170">
        <v>342</v>
      </c>
      <c r="K19" s="170">
        <v>68</v>
      </c>
      <c r="L19" s="170">
        <v>73</v>
      </c>
      <c r="M19" s="170">
        <v>648</v>
      </c>
      <c r="N19" s="170">
        <f t="shared" si="0"/>
        <v>213</v>
      </c>
      <c r="O19" s="170">
        <v>106</v>
      </c>
      <c r="P19" s="170">
        <v>107</v>
      </c>
      <c r="Q19" s="170">
        <v>48</v>
      </c>
      <c r="R19" s="170">
        <f t="shared" si="1"/>
        <v>587</v>
      </c>
      <c r="S19" s="170">
        <v>229</v>
      </c>
      <c r="T19" s="170">
        <v>353</v>
      </c>
      <c r="U19" s="170">
        <v>5</v>
      </c>
      <c r="V19" s="170">
        <v>32</v>
      </c>
      <c r="W19" s="170">
        <f t="shared" si="2"/>
        <v>1414</v>
      </c>
      <c r="X19" s="170">
        <v>126</v>
      </c>
      <c r="Y19" s="170">
        <v>61</v>
      </c>
      <c r="Z19" s="170">
        <v>62</v>
      </c>
      <c r="AA19" s="170">
        <v>560</v>
      </c>
      <c r="AB19" s="170">
        <v>240</v>
      </c>
      <c r="AC19" s="170">
        <v>365</v>
      </c>
      <c r="AD19" s="170">
        <f t="shared" si="3"/>
        <v>143</v>
      </c>
      <c r="AE19" s="170">
        <v>10</v>
      </c>
      <c r="AF19" s="170">
        <v>133</v>
      </c>
      <c r="AG19" s="170">
        <f t="shared" si="4"/>
        <v>5137</v>
      </c>
      <c r="AH19" s="167">
        <v>6134</v>
      </c>
      <c r="AI19" s="167">
        <v>14931</v>
      </c>
      <c r="AJ19" s="167"/>
    </row>
    <row r="20" spans="1:36" ht="12.75" hidden="1">
      <c r="A20" s="21"/>
      <c r="B20" s="76" t="s">
        <v>134</v>
      </c>
      <c r="C20" s="170">
        <v>7948</v>
      </c>
      <c r="D20" s="49">
        <f t="shared" si="5"/>
        <v>15</v>
      </c>
      <c r="E20" s="171">
        <v>15</v>
      </c>
      <c r="F20" s="169" t="s">
        <v>19</v>
      </c>
      <c r="G20" s="169" t="s">
        <v>19</v>
      </c>
      <c r="H20" s="170">
        <v>39</v>
      </c>
      <c r="I20" s="170">
        <v>22</v>
      </c>
      <c r="J20" s="170">
        <v>44</v>
      </c>
      <c r="K20" s="170">
        <v>12</v>
      </c>
      <c r="L20" s="170">
        <v>9</v>
      </c>
      <c r="M20" s="170">
        <v>527</v>
      </c>
      <c r="N20" s="170">
        <f t="shared" si="0"/>
        <v>1097</v>
      </c>
      <c r="O20" s="170">
        <v>585</v>
      </c>
      <c r="P20" s="170">
        <v>512</v>
      </c>
      <c r="Q20" s="170">
        <v>162</v>
      </c>
      <c r="R20" s="170">
        <f t="shared" si="1"/>
        <v>1608</v>
      </c>
      <c r="S20" s="170">
        <v>695</v>
      </c>
      <c r="T20" s="170">
        <v>891</v>
      </c>
      <c r="U20" s="170">
        <v>22</v>
      </c>
      <c r="V20" s="170">
        <v>151</v>
      </c>
      <c r="W20" s="170">
        <f t="shared" si="2"/>
        <v>1337</v>
      </c>
      <c r="X20" s="170">
        <v>100</v>
      </c>
      <c r="Y20" s="170">
        <v>94</v>
      </c>
      <c r="Z20" s="170">
        <v>45</v>
      </c>
      <c r="AA20" s="170">
        <v>357</v>
      </c>
      <c r="AB20" s="170">
        <v>396</v>
      </c>
      <c r="AC20" s="170">
        <v>345</v>
      </c>
      <c r="AD20" s="170">
        <f t="shared" si="3"/>
        <v>458</v>
      </c>
      <c r="AE20" s="170">
        <v>25</v>
      </c>
      <c r="AF20" s="170">
        <v>433</v>
      </c>
      <c r="AG20" s="170">
        <f t="shared" si="4"/>
        <v>3564</v>
      </c>
      <c r="AH20" s="167">
        <v>374</v>
      </c>
      <c r="AI20" s="167">
        <v>8322</v>
      </c>
      <c r="AJ20" s="167"/>
    </row>
    <row r="21" spans="1:36" ht="12.75" hidden="1">
      <c r="A21" s="21"/>
      <c r="B21" s="76" t="s">
        <v>241</v>
      </c>
      <c r="C21" s="170">
        <v>9059</v>
      </c>
      <c r="D21" s="49">
        <f t="shared" si="5"/>
        <v>15</v>
      </c>
      <c r="E21" s="171">
        <v>15</v>
      </c>
      <c r="F21" s="170">
        <v>0</v>
      </c>
      <c r="G21" s="169" t="s">
        <v>19</v>
      </c>
      <c r="H21" s="170">
        <v>34</v>
      </c>
      <c r="I21" s="170">
        <v>19</v>
      </c>
      <c r="J21" s="170">
        <v>38</v>
      </c>
      <c r="K21" s="170">
        <v>10</v>
      </c>
      <c r="L21" s="170">
        <v>8</v>
      </c>
      <c r="M21" s="170">
        <v>489</v>
      </c>
      <c r="N21" s="170">
        <f t="shared" si="0"/>
        <v>915</v>
      </c>
      <c r="O21" s="170">
        <v>576</v>
      </c>
      <c r="P21" s="170">
        <v>339</v>
      </c>
      <c r="Q21" s="170">
        <v>344</v>
      </c>
      <c r="R21" s="170">
        <f t="shared" si="1"/>
        <v>2044</v>
      </c>
      <c r="S21" s="170">
        <v>1134</v>
      </c>
      <c r="T21" s="170">
        <v>799</v>
      </c>
      <c r="U21" s="170">
        <v>111</v>
      </c>
      <c r="V21" s="170">
        <v>47</v>
      </c>
      <c r="W21" s="170">
        <f t="shared" si="2"/>
        <v>1474</v>
      </c>
      <c r="X21" s="170">
        <v>100</v>
      </c>
      <c r="Y21" s="170">
        <v>79</v>
      </c>
      <c r="Z21" s="170">
        <v>96</v>
      </c>
      <c r="AA21" s="170">
        <v>433</v>
      </c>
      <c r="AB21" s="170">
        <v>325</v>
      </c>
      <c r="AC21" s="170">
        <v>441</v>
      </c>
      <c r="AD21" s="170">
        <f t="shared" si="3"/>
        <v>475</v>
      </c>
      <c r="AE21" s="170">
        <v>175</v>
      </c>
      <c r="AF21" s="170">
        <v>300</v>
      </c>
      <c r="AG21" s="170">
        <f t="shared" si="4"/>
        <v>4062</v>
      </c>
      <c r="AH21" s="167">
        <v>902</v>
      </c>
      <c r="AI21" s="167">
        <v>9960</v>
      </c>
      <c r="AJ21" s="167"/>
    </row>
    <row r="22" spans="1:36" ht="12.75" hidden="1">
      <c r="A22" s="21"/>
      <c r="B22" s="76" t="s">
        <v>242</v>
      </c>
      <c r="C22" s="170">
        <v>14335</v>
      </c>
      <c r="D22" s="49">
        <f t="shared" si="5"/>
        <v>60</v>
      </c>
      <c r="E22" s="171">
        <v>60</v>
      </c>
      <c r="F22" s="169" t="s">
        <v>19</v>
      </c>
      <c r="G22" s="169" t="s">
        <v>19</v>
      </c>
      <c r="H22" s="170">
        <v>82</v>
      </c>
      <c r="I22" s="170">
        <v>113</v>
      </c>
      <c r="J22" s="170">
        <v>313</v>
      </c>
      <c r="K22" s="170">
        <v>64</v>
      </c>
      <c r="L22" s="170">
        <v>59</v>
      </c>
      <c r="M22" s="170">
        <v>484</v>
      </c>
      <c r="N22" s="170">
        <f t="shared" si="0"/>
        <v>994</v>
      </c>
      <c r="O22" s="170">
        <v>620</v>
      </c>
      <c r="P22" s="170">
        <v>374</v>
      </c>
      <c r="Q22" s="170">
        <v>101</v>
      </c>
      <c r="R22" s="170">
        <f t="shared" si="1"/>
        <v>1372</v>
      </c>
      <c r="S22" s="170">
        <v>556</v>
      </c>
      <c r="T22" s="170">
        <v>797</v>
      </c>
      <c r="U22" s="170">
        <v>19</v>
      </c>
      <c r="V22" s="170">
        <v>21</v>
      </c>
      <c r="W22" s="170">
        <f t="shared" si="2"/>
        <v>3888</v>
      </c>
      <c r="X22" s="170">
        <v>36</v>
      </c>
      <c r="Y22" s="170">
        <v>122</v>
      </c>
      <c r="Z22" s="170">
        <v>46</v>
      </c>
      <c r="AA22" s="170">
        <v>387</v>
      </c>
      <c r="AB22" s="170">
        <v>430</v>
      </c>
      <c r="AC22" s="170">
        <v>2867</v>
      </c>
      <c r="AD22" s="170">
        <f t="shared" si="3"/>
        <v>324</v>
      </c>
      <c r="AE22" s="170">
        <v>35</v>
      </c>
      <c r="AF22" s="170">
        <v>289</v>
      </c>
      <c r="AG22" s="170">
        <f t="shared" si="4"/>
        <v>7454</v>
      </c>
      <c r="AH22" s="167">
        <v>5425</v>
      </c>
      <c r="AI22" s="167">
        <v>19761</v>
      </c>
      <c r="AJ22" s="167"/>
    </row>
    <row r="23" spans="1:36" ht="12.75" hidden="1">
      <c r="A23" s="21"/>
      <c r="B23" s="76" t="s">
        <v>187</v>
      </c>
      <c r="C23" s="170">
        <v>3148</v>
      </c>
      <c r="D23" s="49">
        <f t="shared" si="5"/>
        <v>64</v>
      </c>
      <c r="E23" s="171">
        <v>64</v>
      </c>
      <c r="F23" s="169" t="s">
        <v>19</v>
      </c>
      <c r="G23" s="169" t="s">
        <v>19</v>
      </c>
      <c r="H23" s="170">
        <v>37</v>
      </c>
      <c r="I23" s="170">
        <v>21</v>
      </c>
      <c r="J23" s="170">
        <v>41</v>
      </c>
      <c r="K23" s="170">
        <v>11</v>
      </c>
      <c r="L23" s="170">
        <v>9</v>
      </c>
      <c r="M23" s="170">
        <v>67</v>
      </c>
      <c r="N23" s="170">
        <f t="shared" si="0"/>
        <v>116</v>
      </c>
      <c r="O23" s="170">
        <v>48</v>
      </c>
      <c r="P23" s="170">
        <v>68</v>
      </c>
      <c r="Q23" s="170">
        <v>88</v>
      </c>
      <c r="R23" s="170">
        <f t="shared" si="1"/>
        <v>544</v>
      </c>
      <c r="S23" s="170">
        <v>314</v>
      </c>
      <c r="T23" s="170">
        <v>222</v>
      </c>
      <c r="U23" s="170">
        <v>8</v>
      </c>
      <c r="V23" s="170">
        <v>27</v>
      </c>
      <c r="W23" s="170">
        <f t="shared" si="2"/>
        <v>691</v>
      </c>
      <c r="X23" s="170">
        <v>17</v>
      </c>
      <c r="Y23" s="170">
        <v>164</v>
      </c>
      <c r="Z23" s="170">
        <v>157</v>
      </c>
      <c r="AA23" s="170">
        <v>138</v>
      </c>
      <c r="AB23" s="170">
        <v>84</v>
      </c>
      <c r="AC23" s="170">
        <v>131</v>
      </c>
      <c r="AD23" s="170">
        <f t="shared" si="3"/>
        <v>198</v>
      </c>
      <c r="AE23" s="170">
        <v>108</v>
      </c>
      <c r="AF23" s="170">
        <v>90</v>
      </c>
      <c r="AG23" s="170">
        <f t="shared" si="4"/>
        <v>1350</v>
      </c>
      <c r="AH23" s="167">
        <v>6903</v>
      </c>
      <c r="AI23" s="167">
        <v>10051</v>
      </c>
      <c r="AJ23" s="167"/>
    </row>
    <row r="24" spans="1:36" ht="12.75" hidden="1">
      <c r="A24" s="21"/>
      <c r="B24" s="76" t="s">
        <v>243</v>
      </c>
      <c r="C24" s="170">
        <v>5514</v>
      </c>
      <c r="D24" s="49">
        <f t="shared" si="5"/>
        <v>69</v>
      </c>
      <c r="E24" s="171">
        <v>47</v>
      </c>
      <c r="F24" s="170">
        <v>22</v>
      </c>
      <c r="G24" s="169" t="s">
        <v>19</v>
      </c>
      <c r="H24" s="170">
        <v>31</v>
      </c>
      <c r="I24" s="170">
        <v>17</v>
      </c>
      <c r="J24" s="170">
        <v>34</v>
      </c>
      <c r="K24" s="170">
        <v>9</v>
      </c>
      <c r="L24" s="170">
        <v>7</v>
      </c>
      <c r="M24" s="170">
        <v>26</v>
      </c>
      <c r="N24" s="170">
        <f t="shared" si="0"/>
        <v>41</v>
      </c>
      <c r="O24" s="170">
        <v>24</v>
      </c>
      <c r="P24" s="170">
        <v>17</v>
      </c>
      <c r="Q24" s="170">
        <v>37</v>
      </c>
      <c r="R24" s="170">
        <f t="shared" si="1"/>
        <v>261</v>
      </c>
      <c r="S24" s="170">
        <v>145</v>
      </c>
      <c r="T24" s="170">
        <v>113</v>
      </c>
      <c r="U24" s="170">
        <v>3</v>
      </c>
      <c r="V24" s="170">
        <v>4</v>
      </c>
      <c r="W24" s="170">
        <f t="shared" si="2"/>
        <v>110</v>
      </c>
      <c r="X24" s="170">
        <v>3</v>
      </c>
      <c r="Y24" s="170">
        <v>11</v>
      </c>
      <c r="Z24" s="170">
        <v>21</v>
      </c>
      <c r="AA24" s="170">
        <v>33</v>
      </c>
      <c r="AB24" s="170">
        <v>12</v>
      </c>
      <c r="AC24" s="170">
        <v>30</v>
      </c>
      <c r="AD24" s="170">
        <f t="shared" si="3"/>
        <v>3535</v>
      </c>
      <c r="AE24" s="170">
        <v>6</v>
      </c>
      <c r="AF24" s="170">
        <v>3529</v>
      </c>
      <c r="AG24" s="170">
        <f t="shared" si="4"/>
        <v>1374</v>
      </c>
      <c r="AH24" s="167">
        <v>15942</v>
      </c>
      <c r="AI24" s="167">
        <v>21457</v>
      </c>
      <c r="AJ24" s="167"/>
    </row>
    <row r="25" spans="1:36" ht="12.75" hidden="1">
      <c r="A25" s="21"/>
      <c r="B25" s="76"/>
      <c r="C25" s="170"/>
      <c r="D25" s="49">
        <f t="shared" si="5"/>
        <v>0</v>
      </c>
      <c r="E25" s="171"/>
      <c r="F25" s="170"/>
      <c r="G25" s="169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67"/>
      <c r="AI25" s="167"/>
      <c r="AJ25" s="167"/>
    </row>
    <row r="26" spans="1:36" ht="12.75" hidden="1">
      <c r="A26" s="21"/>
      <c r="B26" s="229" t="s">
        <v>189</v>
      </c>
      <c r="C26" s="171">
        <f>SUM(C9:C24)</f>
        <v>143271</v>
      </c>
      <c r="D26" s="49">
        <f t="shared" si="5"/>
        <v>1274</v>
      </c>
      <c r="E26" s="171">
        <f aca="true" t="shared" si="6" ref="E26:M26">SUM(E9:E24)</f>
        <v>1222</v>
      </c>
      <c r="F26" s="171">
        <f t="shared" si="6"/>
        <v>22</v>
      </c>
      <c r="G26" s="171">
        <f t="shared" si="6"/>
        <v>30</v>
      </c>
      <c r="H26" s="171">
        <f t="shared" si="6"/>
        <v>839</v>
      </c>
      <c r="I26" s="171">
        <f t="shared" si="6"/>
        <v>1173</v>
      </c>
      <c r="J26" s="171">
        <f t="shared" si="6"/>
        <v>2017</v>
      </c>
      <c r="K26" s="171">
        <f t="shared" si="6"/>
        <v>422</v>
      </c>
      <c r="L26" s="171">
        <f t="shared" si="6"/>
        <v>428</v>
      </c>
      <c r="M26" s="171">
        <f t="shared" si="6"/>
        <v>7548</v>
      </c>
      <c r="N26" s="170">
        <f>SUM(O26:P26)</f>
        <v>7376</v>
      </c>
      <c r="O26" s="171">
        <f>SUM(O9:O24)</f>
        <v>4781</v>
      </c>
      <c r="P26" s="171">
        <f>SUM(P9:P24)</f>
        <v>2595</v>
      </c>
      <c r="Q26" s="171">
        <f>SUM(Q9:Q24)</f>
        <v>1966</v>
      </c>
      <c r="R26" s="170">
        <f>SUM(S26:U26)</f>
        <v>23054</v>
      </c>
      <c r="S26" s="171">
        <f>SUM(S9:S24)</f>
        <v>9505</v>
      </c>
      <c r="T26" s="171">
        <f>SUM(T9:T24)</f>
        <v>12509</v>
      </c>
      <c r="U26" s="171">
        <f>SUM(U9:U24)</f>
        <v>1040</v>
      </c>
      <c r="V26" s="171">
        <f>SUM(V9:V24)</f>
        <v>526</v>
      </c>
      <c r="W26" s="170">
        <f>SUM(X26:AC26)</f>
        <v>15944</v>
      </c>
      <c r="X26" s="171">
        <f aca="true" t="shared" si="7" ref="X26:AC26">SUM(X9:X24)</f>
        <v>1034</v>
      </c>
      <c r="Y26" s="171">
        <f t="shared" si="7"/>
        <v>1884</v>
      </c>
      <c r="Z26" s="171">
        <f t="shared" si="7"/>
        <v>940</v>
      </c>
      <c r="AA26" s="171">
        <f t="shared" si="7"/>
        <v>3521</v>
      </c>
      <c r="AB26" s="171">
        <f t="shared" si="7"/>
        <v>2730</v>
      </c>
      <c r="AC26" s="171">
        <f t="shared" si="7"/>
        <v>5835</v>
      </c>
      <c r="AD26" s="170">
        <f>SUM(AE26:AF26)</f>
        <v>6321</v>
      </c>
      <c r="AE26" s="171">
        <f>SUM(AE9:AE24)</f>
        <v>605</v>
      </c>
      <c r="AF26" s="171">
        <f>SUM(AF9:AF24)</f>
        <v>5716</v>
      </c>
      <c r="AG26" s="171">
        <f>SUM(AG9:AG24)</f>
        <v>81752</v>
      </c>
      <c r="AH26" s="171">
        <f>SUM(AH9:AH24)</f>
        <v>139358</v>
      </c>
      <c r="AI26" s="171">
        <f>SUM(AI9:AI24)</f>
        <v>282630</v>
      </c>
      <c r="AJ26" s="167"/>
    </row>
    <row r="27" spans="1:36" ht="12.75" hidden="1">
      <c r="A27" s="21"/>
      <c r="B27" s="94" t="s">
        <v>161</v>
      </c>
      <c r="C27" s="171">
        <f>C28-C26</f>
        <v>250722</v>
      </c>
      <c r="D27" s="49">
        <f t="shared" si="5"/>
        <v>8455</v>
      </c>
      <c r="E27" s="171">
        <f aca="true" t="shared" si="8" ref="E27:M27">E28-E26</f>
        <v>8184</v>
      </c>
      <c r="F27" s="171">
        <f t="shared" si="8"/>
        <v>102</v>
      </c>
      <c r="G27" s="171">
        <f t="shared" si="8"/>
        <v>169</v>
      </c>
      <c r="H27" s="171">
        <f t="shared" si="8"/>
        <v>928</v>
      </c>
      <c r="I27" s="171">
        <f t="shared" si="8"/>
        <v>1692</v>
      </c>
      <c r="J27" s="171">
        <f t="shared" si="8"/>
        <v>6671</v>
      </c>
      <c r="K27" s="171">
        <f t="shared" si="8"/>
        <v>1680</v>
      </c>
      <c r="L27" s="171">
        <f t="shared" si="8"/>
        <v>731</v>
      </c>
      <c r="M27" s="171">
        <f t="shared" si="8"/>
        <v>42993</v>
      </c>
      <c r="N27" s="170">
        <f>SUM(O27:P27)</f>
        <v>23967</v>
      </c>
      <c r="O27" s="171">
        <f>O28-O26</f>
        <v>13766</v>
      </c>
      <c r="P27" s="171">
        <f>P28-P26</f>
        <v>10201</v>
      </c>
      <c r="Q27" s="171">
        <f>Q28-Q26</f>
        <v>2190</v>
      </c>
      <c r="R27" s="170">
        <f>SUM(S27:U27)</f>
        <v>10848</v>
      </c>
      <c r="S27" s="171">
        <f>S28-S26</f>
        <v>4532</v>
      </c>
      <c r="T27" s="171">
        <f>T28-T26</f>
        <v>5893</v>
      </c>
      <c r="U27" s="171">
        <f>U28-U26</f>
        <v>423</v>
      </c>
      <c r="V27" s="171">
        <f>V28-V26</f>
        <v>358</v>
      </c>
      <c r="W27" s="170">
        <f>SUM(X27:AC27)</f>
        <v>6895</v>
      </c>
      <c r="X27" s="171">
        <f aca="true" t="shared" si="9" ref="X27:AC27">X28-X26</f>
        <v>413</v>
      </c>
      <c r="Y27" s="171">
        <f t="shared" si="9"/>
        <v>867</v>
      </c>
      <c r="Z27" s="171">
        <f t="shared" si="9"/>
        <v>646</v>
      </c>
      <c r="AA27" s="171">
        <f t="shared" si="9"/>
        <v>1370</v>
      </c>
      <c r="AB27" s="171">
        <f t="shared" si="9"/>
        <v>1543</v>
      </c>
      <c r="AC27" s="171">
        <f t="shared" si="9"/>
        <v>2056</v>
      </c>
      <c r="AD27" s="170">
        <f>SUM(AE27:AF27)</f>
        <v>3604</v>
      </c>
      <c r="AE27" s="171">
        <f>AE28-AE26</f>
        <v>1005</v>
      </c>
      <c r="AF27" s="171">
        <f>AF28-AF26</f>
        <v>2599</v>
      </c>
      <c r="AG27" s="171">
        <f>AG28-AG26</f>
        <v>34332</v>
      </c>
      <c r="AH27" s="171">
        <f>AH28-AH26</f>
        <v>435990</v>
      </c>
      <c r="AI27" s="171">
        <f>AI28-AI26</f>
        <v>686710</v>
      </c>
      <c r="AJ27" s="167"/>
    </row>
    <row r="28" spans="1:36" ht="12.75" hidden="1">
      <c r="A28" s="21"/>
      <c r="B28" s="94" t="s">
        <v>244</v>
      </c>
      <c r="C28" s="170">
        <v>393993</v>
      </c>
      <c r="D28" s="49">
        <f t="shared" si="5"/>
        <v>9729</v>
      </c>
      <c r="E28" s="171">
        <v>9406</v>
      </c>
      <c r="F28" s="170">
        <v>124</v>
      </c>
      <c r="G28" s="169">
        <v>199</v>
      </c>
      <c r="H28" s="170">
        <v>1767</v>
      </c>
      <c r="I28" s="170">
        <v>2865</v>
      </c>
      <c r="J28" s="170">
        <v>8688</v>
      </c>
      <c r="K28" s="170">
        <v>2102</v>
      </c>
      <c r="L28" s="170">
        <v>1159</v>
      </c>
      <c r="M28" s="170">
        <v>50541</v>
      </c>
      <c r="N28" s="170">
        <f>SUM(O28:P28)</f>
        <v>31343</v>
      </c>
      <c r="O28" s="170">
        <v>18547</v>
      </c>
      <c r="P28" s="170">
        <v>12796</v>
      </c>
      <c r="Q28" s="170">
        <v>4156</v>
      </c>
      <c r="R28" s="170">
        <f>SUM(S28:U28)</f>
        <v>33902</v>
      </c>
      <c r="S28" s="170">
        <v>14037</v>
      </c>
      <c r="T28" s="170">
        <v>18402</v>
      </c>
      <c r="U28" s="170">
        <v>1463</v>
      </c>
      <c r="V28" s="170">
        <v>884</v>
      </c>
      <c r="W28" s="170">
        <f>SUM(X28:AC28)</f>
        <v>22839</v>
      </c>
      <c r="X28" s="170">
        <v>1447</v>
      </c>
      <c r="Y28" s="170">
        <v>2751</v>
      </c>
      <c r="Z28" s="170">
        <v>1586</v>
      </c>
      <c r="AA28" s="170">
        <v>4891</v>
      </c>
      <c r="AB28" s="170">
        <v>4273</v>
      </c>
      <c r="AC28" s="170">
        <v>7891</v>
      </c>
      <c r="AD28" s="170">
        <f>SUM(AE28:AF28)</f>
        <v>9925</v>
      </c>
      <c r="AE28" s="170">
        <v>1610</v>
      </c>
      <c r="AF28" s="170">
        <v>8315</v>
      </c>
      <c r="AG28" s="170">
        <f>C28-SUM(E28:AF28)</f>
        <v>116084</v>
      </c>
      <c r="AH28" s="167">
        <v>575348</v>
      </c>
      <c r="AI28" s="167">
        <v>969340</v>
      </c>
      <c r="AJ28" s="167"/>
    </row>
    <row r="29" spans="1:36" ht="12.75" hidden="1">
      <c r="A29" s="21"/>
      <c r="B29" s="94" t="s">
        <v>245</v>
      </c>
      <c r="C29" s="171">
        <f>C30-C26</f>
        <v>826069</v>
      </c>
      <c r="D29" s="49">
        <f t="shared" si="5"/>
        <v>18437</v>
      </c>
      <c r="E29" s="171">
        <f aca="true" t="shared" si="10" ref="E29:M29">E30-E26</f>
        <v>17624</v>
      </c>
      <c r="F29" s="171">
        <f t="shared" si="10"/>
        <v>288</v>
      </c>
      <c r="G29" s="171">
        <f t="shared" si="10"/>
        <v>525</v>
      </c>
      <c r="H29" s="171">
        <f t="shared" si="10"/>
        <v>2557</v>
      </c>
      <c r="I29" s="171">
        <f t="shared" si="10"/>
        <v>6692</v>
      </c>
      <c r="J29" s="171">
        <f t="shared" si="10"/>
        <v>18098</v>
      </c>
      <c r="K29" s="171">
        <f t="shared" si="10"/>
        <v>4474</v>
      </c>
      <c r="L29" s="171">
        <f t="shared" si="10"/>
        <v>4240</v>
      </c>
      <c r="M29" s="171">
        <f t="shared" si="10"/>
        <v>82318</v>
      </c>
      <c r="N29" s="170">
        <f>SUM(O29:P29)</f>
        <v>76372</v>
      </c>
      <c r="O29" s="171">
        <f>O30-O26</f>
        <v>40862</v>
      </c>
      <c r="P29" s="171">
        <f>P30-P26</f>
        <v>35510</v>
      </c>
      <c r="Q29" s="171">
        <f>Q30-Q26</f>
        <v>12841</v>
      </c>
      <c r="R29" s="170">
        <f>SUM(S29:U29)</f>
        <v>50361</v>
      </c>
      <c r="S29" s="171">
        <f>S30-S26</f>
        <v>32516</v>
      </c>
      <c r="T29" s="171">
        <f>T30-T26</f>
        <v>13567</v>
      </c>
      <c r="U29" s="171">
        <f>U30-U26</f>
        <v>4278</v>
      </c>
      <c r="V29" s="171">
        <f>V30-V26</f>
        <v>2274</v>
      </c>
      <c r="W29" s="170">
        <f>SUM(X29:AC29)</f>
        <v>45621</v>
      </c>
      <c r="X29" s="171">
        <f aca="true" t="shared" si="11" ref="X29:AC29">X30-X26</f>
        <v>3111</v>
      </c>
      <c r="Y29" s="171">
        <f t="shared" si="11"/>
        <v>5370</v>
      </c>
      <c r="Z29" s="171">
        <f t="shared" si="11"/>
        <v>4765</v>
      </c>
      <c r="AA29" s="171">
        <f t="shared" si="11"/>
        <v>11332</v>
      </c>
      <c r="AB29" s="171">
        <f t="shared" si="11"/>
        <v>7282</v>
      </c>
      <c r="AC29" s="171">
        <f t="shared" si="11"/>
        <v>13761</v>
      </c>
      <c r="AD29" s="170">
        <f>SUM(AE29:AF29)</f>
        <v>27275</v>
      </c>
      <c r="AE29" s="171">
        <f>AE30-AE26</f>
        <v>9636</v>
      </c>
      <c r="AF29" s="171">
        <f>AF30-AF26</f>
        <v>17639</v>
      </c>
      <c r="AG29" s="171">
        <f>AG30-AG26</f>
        <v>214816</v>
      </c>
      <c r="AH29" s="171">
        <f>AH30-AH26</f>
        <v>560045</v>
      </c>
      <c r="AI29" s="171">
        <f>AI30-AI26</f>
        <v>1386113</v>
      </c>
      <c r="AJ29" s="167"/>
    </row>
    <row r="30" spans="1:36" ht="12.75" hidden="1">
      <c r="A30" s="21"/>
      <c r="B30" s="94" t="s">
        <v>197</v>
      </c>
      <c r="C30" s="170">
        <v>969340</v>
      </c>
      <c r="D30" s="49">
        <f t="shared" si="5"/>
        <v>19711</v>
      </c>
      <c r="E30" s="171">
        <v>18846</v>
      </c>
      <c r="F30" s="170">
        <v>310</v>
      </c>
      <c r="G30" s="169">
        <v>555</v>
      </c>
      <c r="H30" s="170">
        <v>3396</v>
      </c>
      <c r="I30" s="170">
        <v>7865</v>
      </c>
      <c r="J30" s="170">
        <v>20115</v>
      </c>
      <c r="K30" s="170">
        <v>4896</v>
      </c>
      <c r="L30" s="170">
        <v>4668</v>
      </c>
      <c r="M30" s="170">
        <v>89866</v>
      </c>
      <c r="N30" s="170">
        <f>SUM(O30:P30)</f>
        <v>83748</v>
      </c>
      <c r="O30" s="170">
        <v>45643</v>
      </c>
      <c r="P30" s="170">
        <v>38105</v>
      </c>
      <c r="Q30" s="170">
        <v>14807</v>
      </c>
      <c r="R30" s="170">
        <f>SUM(S30:U30)</f>
        <v>73415</v>
      </c>
      <c r="S30" s="170">
        <v>42021</v>
      </c>
      <c r="T30" s="170">
        <v>26076</v>
      </c>
      <c r="U30" s="170">
        <v>5318</v>
      </c>
      <c r="V30" s="170">
        <v>2800</v>
      </c>
      <c r="W30" s="170">
        <f>SUM(X30:AC30)</f>
        <v>61565</v>
      </c>
      <c r="X30" s="170">
        <v>4145</v>
      </c>
      <c r="Y30" s="170">
        <v>7254</v>
      </c>
      <c r="Z30" s="170">
        <v>5705</v>
      </c>
      <c r="AA30" s="170">
        <v>14853</v>
      </c>
      <c r="AB30" s="170">
        <v>10012</v>
      </c>
      <c r="AC30" s="170">
        <v>19596</v>
      </c>
      <c r="AD30" s="170">
        <f>SUM(AE30:AF30)</f>
        <v>33596</v>
      </c>
      <c r="AE30" s="170">
        <v>10241</v>
      </c>
      <c r="AF30" s="170">
        <v>23355</v>
      </c>
      <c r="AG30" s="170">
        <f>C30-SUM(E30:AF30)</f>
        <v>296568</v>
      </c>
      <c r="AH30" s="167">
        <v>699403</v>
      </c>
      <c r="AI30" s="167">
        <v>1668743</v>
      </c>
      <c r="AJ30" s="167"/>
    </row>
    <row r="31" spans="1:36" ht="12.75" hidden="1">
      <c r="A31" s="21"/>
      <c r="B31" s="21"/>
      <c r="C31" s="167"/>
      <c r="D31" s="85"/>
      <c r="E31" s="172"/>
      <c r="F31" s="173"/>
      <c r="G31" s="173"/>
      <c r="H31" s="173"/>
      <c r="I31" s="173"/>
      <c r="J31" s="173"/>
      <c r="K31" s="173"/>
      <c r="L31" s="173"/>
      <c r="M31" s="173"/>
      <c r="N31" s="174"/>
      <c r="O31" s="173"/>
      <c r="P31" s="173"/>
      <c r="Q31" s="167"/>
      <c r="R31" s="167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67"/>
      <c r="AH31" s="167"/>
      <c r="AI31" s="167"/>
      <c r="AJ31" s="167"/>
    </row>
    <row r="32" spans="1:36" ht="12.75" hidden="1">
      <c r="A32" s="21"/>
      <c r="B32" s="21"/>
      <c r="C32" s="370" t="s">
        <v>165</v>
      </c>
      <c r="D32" s="94" t="s">
        <v>118</v>
      </c>
      <c r="E32" s="172" t="s">
        <v>198</v>
      </c>
      <c r="F32" s="173"/>
      <c r="G32" s="173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370" t="s">
        <v>165</v>
      </c>
      <c r="AI32" s="370" t="s">
        <v>165</v>
      </c>
      <c r="AJ32" s="167"/>
    </row>
    <row r="33" spans="1:36" ht="15" hidden="1">
      <c r="A33" s="21"/>
      <c r="B33" s="155" t="s">
        <v>102</v>
      </c>
      <c r="C33" s="370" t="s">
        <v>246</v>
      </c>
      <c r="D33" s="85" t="s">
        <v>199</v>
      </c>
      <c r="E33" s="168" t="s">
        <v>200</v>
      </c>
      <c r="F33" s="168" t="s">
        <v>201</v>
      </c>
      <c r="G33" s="168" t="s">
        <v>202</v>
      </c>
      <c r="H33" s="168" t="s">
        <v>203</v>
      </c>
      <c r="I33" s="168" t="s">
        <v>204</v>
      </c>
      <c r="J33" s="168" t="s">
        <v>205</v>
      </c>
      <c r="K33" s="168" t="s">
        <v>206</v>
      </c>
      <c r="L33" s="168" t="s">
        <v>207</v>
      </c>
      <c r="M33" s="168" t="s">
        <v>208</v>
      </c>
      <c r="N33" s="168" t="s">
        <v>130</v>
      </c>
      <c r="O33" s="168" t="s">
        <v>131</v>
      </c>
      <c r="P33" s="168" t="s">
        <v>97</v>
      </c>
      <c r="Q33" s="168" t="s">
        <v>128</v>
      </c>
      <c r="R33" s="168" t="s">
        <v>209</v>
      </c>
      <c r="S33" s="168" t="s">
        <v>209</v>
      </c>
      <c r="T33" s="168" t="s">
        <v>76</v>
      </c>
      <c r="U33" s="168" t="s">
        <v>210</v>
      </c>
      <c r="V33" s="168" t="s">
        <v>134</v>
      </c>
      <c r="W33" s="168" t="s">
        <v>211</v>
      </c>
      <c r="X33" s="168" t="s">
        <v>212</v>
      </c>
      <c r="Y33" s="168" t="s">
        <v>213</v>
      </c>
      <c r="Z33" s="168" t="s">
        <v>214</v>
      </c>
      <c r="AA33" s="168" t="s">
        <v>192</v>
      </c>
      <c r="AB33" s="168" t="s">
        <v>215</v>
      </c>
      <c r="AC33" s="168" t="s">
        <v>192</v>
      </c>
      <c r="AD33" s="168" t="s">
        <v>216</v>
      </c>
      <c r="AE33" s="168" t="s">
        <v>217</v>
      </c>
      <c r="AF33" s="168" t="s">
        <v>218</v>
      </c>
      <c r="AG33" s="168" t="s">
        <v>139</v>
      </c>
      <c r="AH33" s="370" t="s">
        <v>171</v>
      </c>
      <c r="AI33" s="370"/>
      <c r="AJ33" s="167"/>
    </row>
    <row r="34" spans="1:36" ht="15" hidden="1">
      <c r="A34" s="21"/>
      <c r="B34" s="155"/>
      <c r="C34" s="370" t="s">
        <v>247</v>
      </c>
      <c r="D34" s="85" t="s">
        <v>219</v>
      </c>
      <c r="E34" s="168"/>
      <c r="F34" s="168"/>
      <c r="G34" s="168"/>
      <c r="H34" s="168"/>
      <c r="I34" s="168" t="s">
        <v>220</v>
      </c>
      <c r="J34" s="168" t="s">
        <v>221</v>
      </c>
      <c r="K34" s="168"/>
      <c r="L34" s="168"/>
      <c r="M34" s="168"/>
      <c r="N34" s="168"/>
      <c r="O34" s="168"/>
      <c r="P34" s="168"/>
      <c r="Q34" s="168"/>
      <c r="R34" s="168" t="s">
        <v>144</v>
      </c>
      <c r="S34" s="168"/>
      <c r="T34" s="168"/>
      <c r="U34" s="168" t="s">
        <v>133</v>
      </c>
      <c r="V34" s="168"/>
      <c r="W34" s="168" t="s">
        <v>222</v>
      </c>
      <c r="X34" s="168" t="s">
        <v>223</v>
      </c>
      <c r="Y34" s="168"/>
      <c r="Z34" s="168"/>
      <c r="AA34" s="168" t="s">
        <v>224</v>
      </c>
      <c r="AB34" s="168" t="s">
        <v>80</v>
      </c>
      <c r="AC34" s="168" t="s">
        <v>145</v>
      </c>
      <c r="AD34" s="168" t="s">
        <v>225</v>
      </c>
      <c r="AE34" s="168"/>
      <c r="AF34" s="168" t="s">
        <v>80</v>
      </c>
      <c r="AG34" s="168"/>
      <c r="AH34" s="370" t="s">
        <v>227</v>
      </c>
      <c r="AI34" s="370"/>
      <c r="AJ34" s="167"/>
    </row>
    <row r="35" spans="1:36" ht="12.75" hidden="1">
      <c r="A35" s="21"/>
      <c r="B35" s="21"/>
      <c r="C35" s="370"/>
      <c r="D35" s="85" t="s">
        <v>202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 t="s">
        <v>97</v>
      </c>
      <c r="O35" s="168"/>
      <c r="P35" s="168"/>
      <c r="Q35" s="168"/>
      <c r="R35" s="168" t="s">
        <v>76</v>
      </c>
      <c r="S35" s="168"/>
      <c r="T35" s="168"/>
      <c r="U35" s="168"/>
      <c r="V35" s="168"/>
      <c r="W35" s="168" t="s">
        <v>80</v>
      </c>
      <c r="X35" s="168"/>
      <c r="Y35" s="168"/>
      <c r="Z35" s="168"/>
      <c r="AA35" s="168"/>
      <c r="AB35" s="168"/>
      <c r="AC35" s="168"/>
      <c r="AD35" s="168" t="s">
        <v>80</v>
      </c>
      <c r="AE35" s="168"/>
      <c r="AF35" s="168"/>
      <c r="AG35" s="168"/>
      <c r="AH35" s="370" t="s">
        <v>228</v>
      </c>
      <c r="AI35" s="370"/>
      <c r="AJ35" s="167"/>
    </row>
    <row r="36" spans="1:36" ht="12.75" hidden="1">
      <c r="A36" s="21"/>
      <c r="B36" s="94" t="s">
        <v>177</v>
      </c>
      <c r="C36" s="372"/>
      <c r="D36" s="228"/>
      <c r="E36" s="168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167"/>
      <c r="AI36" s="167"/>
      <c r="AJ36" s="167"/>
    </row>
    <row r="37" spans="1:36" ht="12.75" hidden="1">
      <c r="A37" s="21"/>
      <c r="B37" s="94" t="s">
        <v>180</v>
      </c>
      <c r="C37" s="170"/>
      <c r="D37" s="373"/>
      <c r="E37" s="171"/>
      <c r="F37" s="170"/>
      <c r="G37" s="170"/>
      <c r="H37" s="169"/>
      <c r="I37" s="170"/>
      <c r="J37" s="169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67"/>
      <c r="AG37" s="170"/>
      <c r="AH37" s="167"/>
      <c r="AI37" s="167"/>
      <c r="AJ37" s="167"/>
    </row>
    <row r="38" spans="1:36" ht="12.75" hidden="1">
      <c r="A38" s="21"/>
      <c r="B38" s="76" t="s">
        <v>229</v>
      </c>
      <c r="C38" s="228">
        <f>C9/C30</f>
        <v>0.008483091588090866</v>
      </c>
      <c r="D38" s="228">
        <f>D9/D30</f>
        <v>0.0026888539394246866</v>
      </c>
      <c r="E38" s="228">
        <f>E9/E30</f>
        <v>0.0024408362517245037</v>
      </c>
      <c r="F38" s="228">
        <f>F9/F30</f>
        <v>0.02258064516129032</v>
      </c>
      <c r="G38" s="373" t="s">
        <v>19</v>
      </c>
      <c r="H38" s="228">
        <f aca="true" t="shared" si="12" ref="H38:AI38">H9/H30</f>
        <v>0.025323910482921083</v>
      </c>
      <c r="I38" s="228">
        <f t="shared" si="12"/>
        <v>0.00673871582962492</v>
      </c>
      <c r="J38" s="228">
        <f t="shared" si="12"/>
        <v>0.004772557792692021</v>
      </c>
      <c r="K38" s="228">
        <f t="shared" si="12"/>
        <v>0.0051062091503267975</v>
      </c>
      <c r="L38" s="228">
        <f t="shared" si="12"/>
        <v>0.004284490145672665</v>
      </c>
      <c r="M38" s="228">
        <f t="shared" si="12"/>
        <v>0.0026928983152694013</v>
      </c>
      <c r="N38" s="228">
        <f t="shared" si="12"/>
        <v>0.00815541863686297</v>
      </c>
      <c r="O38" s="228">
        <f t="shared" si="12"/>
        <v>0.011524220581469229</v>
      </c>
      <c r="P38" s="228">
        <f t="shared" si="12"/>
        <v>0.004120194200236189</v>
      </c>
      <c r="Q38" s="228">
        <f t="shared" si="12"/>
        <v>0.002228675626392922</v>
      </c>
      <c r="R38" s="228">
        <f t="shared" si="12"/>
        <v>0.03457059184090445</v>
      </c>
      <c r="S38" s="228">
        <f t="shared" si="12"/>
        <v>0.027819423621522572</v>
      </c>
      <c r="T38" s="228">
        <f t="shared" si="12"/>
        <v>0.04920233164595797</v>
      </c>
      <c r="U38" s="228">
        <f t="shared" si="12"/>
        <v>0.016171493042497178</v>
      </c>
      <c r="V38" s="228">
        <f t="shared" si="12"/>
        <v>0.0275</v>
      </c>
      <c r="W38" s="228">
        <f t="shared" si="12"/>
        <v>0.01471615365873467</v>
      </c>
      <c r="X38" s="228">
        <f t="shared" si="12"/>
        <v>0.012062726176115802</v>
      </c>
      <c r="Y38" s="228">
        <f t="shared" si="12"/>
        <v>0.03942652329749104</v>
      </c>
      <c r="Z38" s="228">
        <f t="shared" si="12"/>
        <v>0.014373356704645047</v>
      </c>
      <c r="AA38" s="228">
        <f t="shared" si="12"/>
        <v>0.01622567831414529</v>
      </c>
      <c r="AB38" s="228">
        <f t="shared" si="12"/>
        <v>0.007491010787055533</v>
      </c>
      <c r="AC38" s="228">
        <f t="shared" si="12"/>
        <v>0.00877730149010002</v>
      </c>
      <c r="AD38" s="228">
        <f t="shared" si="12"/>
        <v>0.008125967377068699</v>
      </c>
      <c r="AE38" s="228">
        <f t="shared" si="12"/>
        <v>0.009178791133678352</v>
      </c>
      <c r="AF38" s="228">
        <f t="shared" si="12"/>
        <v>0.007664311710554485</v>
      </c>
      <c r="AG38" s="228">
        <f t="shared" si="12"/>
        <v>0.012884060316689596</v>
      </c>
      <c r="AH38" s="228">
        <f t="shared" si="12"/>
        <v>0.006568459100118244</v>
      </c>
      <c r="AI38" s="228">
        <f t="shared" si="12"/>
        <v>0.007680631469315527</v>
      </c>
      <c r="AJ38" s="167"/>
    </row>
    <row r="39" spans="1:36" ht="12.75" hidden="1">
      <c r="A39" s="21"/>
      <c r="B39" s="76" t="s">
        <v>231</v>
      </c>
      <c r="C39" s="228">
        <f>C10/C30</f>
        <v>0.018539418573462356</v>
      </c>
      <c r="D39" s="228">
        <f aca="true" t="shared" si="13" ref="D39:AI39">D10/D30</f>
        <v>0.028004667444574097</v>
      </c>
      <c r="E39" s="228">
        <f t="shared" si="13"/>
        <v>0.028547171813647458</v>
      </c>
      <c r="F39" s="228">
        <f t="shared" si="13"/>
        <v>0.03870967741935484</v>
      </c>
      <c r="G39" s="228">
        <f t="shared" si="13"/>
        <v>0.025225225225225224</v>
      </c>
      <c r="H39" s="228">
        <f t="shared" si="13"/>
        <v>0.032391048292108364</v>
      </c>
      <c r="I39" s="228">
        <f t="shared" si="13"/>
        <v>0.0712015257469803</v>
      </c>
      <c r="J39" s="228">
        <f t="shared" si="13"/>
        <v>0.035396470295799155</v>
      </c>
      <c r="K39" s="228">
        <f t="shared" si="13"/>
        <v>0.021241830065359478</v>
      </c>
      <c r="L39" s="228">
        <f t="shared" si="13"/>
        <v>0.029348757497857755</v>
      </c>
      <c r="M39" s="228">
        <f t="shared" si="13"/>
        <v>0.029098880555493735</v>
      </c>
      <c r="N39" s="228">
        <f t="shared" si="13"/>
        <v>0.005934470076897359</v>
      </c>
      <c r="O39" s="228">
        <f t="shared" si="13"/>
        <v>0.006550840216462546</v>
      </c>
      <c r="P39" s="228">
        <f t="shared" si="13"/>
        <v>0.005196168481826532</v>
      </c>
      <c r="Q39" s="228">
        <f t="shared" si="13"/>
        <v>0.010603093131626933</v>
      </c>
      <c r="R39" s="228">
        <f t="shared" si="13"/>
        <v>0.004508615405571069</v>
      </c>
      <c r="S39" s="228">
        <f t="shared" si="13"/>
        <v>0.0034982508745627187</v>
      </c>
      <c r="T39" s="228">
        <f t="shared" si="13"/>
        <v>0.006519404816689676</v>
      </c>
      <c r="U39" s="228">
        <f t="shared" si="13"/>
        <v>0.0026325686348251222</v>
      </c>
      <c r="V39" s="228">
        <f t="shared" si="13"/>
        <v>0.004642857142857143</v>
      </c>
      <c r="W39" s="228">
        <f t="shared" si="13"/>
        <v>0.0035897019410379275</v>
      </c>
      <c r="X39" s="228">
        <f t="shared" si="13"/>
        <v>0.0024125452352231603</v>
      </c>
      <c r="Y39" s="228">
        <f t="shared" si="13"/>
        <v>0.00482492417976289</v>
      </c>
      <c r="Z39" s="228">
        <f t="shared" si="13"/>
        <v>0.0028045574057843996</v>
      </c>
      <c r="AA39" s="228">
        <f t="shared" si="13"/>
        <v>0.00255840570928432</v>
      </c>
      <c r="AB39" s="228">
        <f t="shared" si="13"/>
        <v>0.007091490211745905</v>
      </c>
      <c r="AC39" s="228">
        <f t="shared" si="13"/>
        <v>0.0026025719534598897</v>
      </c>
      <c r="AD39" s="228">
        <f t="shared" si="13"/>
        <v>0.0047922371710917965</v>
      </c>
      <c r="AE39" s="228">
        <f t="shared" si="13"/>
        <v>0.00400351528171077</v>
      </c>
      <c r="AF39" s="228">
        <f t="shared" si="13"/>
        <v>0.005138086062941554</v>
      </c>
      <c r="AG39" s="228">
        <f t="shared" si="13"/>
        <v>0.04146772409700305</v>
      </c>
      <c r="AH39" s="228">
        <f t="shared" si="13"/>
        <v>0.049852517075277054</v>
      </c>
      <c r="AI39" s="228">
        <f t="shared" si="13"/>
        <v>0.03166335379384363</v>
      </c>
      <c r="AJ39" s="167"/>
    </row>
    <row r="40" spans="1:36" ht="12.75" hidden="1">
      <c r="A40" s="21"/>
      <c r="B40" s="76" t="s">
        <v>233</v>
      </c>
      <c r="C40" s="228">
        <f>C11/C30</f>
        <v>0.00010213134710215198</v>
      </c>
      <c r="D40" s="373" t="s">
        <v>19</v>
      </c>
      <c r="E40" s="373" t="s">
        <v>19</v>
      </c>
      <c r="F40" s="373" t="s">
        <v>19</v>
      </c>
      <c r="G40" s="373" t="s">
        <v>19</v>
      </c>
      <c r="H40" s="228">
        <f>H11/H30</f>
        <v>0</v>
      </c>
      <c r="I40" s="228">
        <f>I11/I30</f>
        <v>0</v>
      </c>
      <c r="J40" s="228">
        <f>J11/J30</f>
        <v>4.971414367387522E-05</v>
      </c>
      <c r="K40" s="228">
        <f>K11/K30</f>
        <v>0</v>
      </c>
      <c r="L40" s="373" t="s">
        <v>19</v>
      </c>
      <c r="M40" s="228">
        <f>M11/M30</f>
        <v>3.33830369661496E-05</v>
      </c>
      <c r="N40" s="228">
        <f>N11/N30</f>
        <v>1.1940583655729091E-05</v>
      </c>
      <c r="O40" s="228">
        <f>O11/O30</f>
        <v>0</v>
      </c>
      <c r="P40" s="228">
        <f>P11/P30</f>
        <v>2.624327516074006E-05</v>
      </c>
      <c r="Q40" s="373" t="s">
        <v>19</v>
      </c>
      <c r="R40" s="228">
        <f>R11/R30</f>
        <v>0</v>
      </c>
      <c r="S40" s="373" t="s">
        <v>19</v>
      </c>
      <c r="T40" s="373" t="s">
        <v>19</v>
      </c>
      <c r="U40" s="373" t="s">
        <v>19</v>
      </c>
      <c r="V40" s="228">
        <f>V11/V30</f>
        <v>0</v>
      </c>
      <c r="W40" s="228">
        <f>W11/W30</f>
        <v>0</v>
      </c>
      <c r="X40" s="373" t="s">
        <v>19</v>
      </c>
      <c r="Y40" s="373" t="s">
        <v>19</v>
      </c>
      <c r="Z40" s="373" t="s">
        <v>19</v>
      </c>
      <c r="AA40" s="373" t="s">
        <v>19</v>
      </c>
      <c r="AB40" s="228">
        <f>AB11/AB30</f>
        <v>0</v>
      </c>
      <c r="AC40" s="373" t="s">
        <v>19</v>
      </c>
      <c r="AD40" s="228">
        <f>AD11/AD30</f>
        <v>0</v>
      </c>
      <c r="AE40" s="373" t="s">
        <v>19</v>
      </c>
      <c r="AF40" s="373" t="s">
        <v>19</v>
      </c>
      <c r="AG40" s="228">
        <f>AG11/AG30</f>
        <v>0.00032033125623802974</v>
      </c>
      <c r="AH40" s="228">
        <f>AH11/AH30</f>
        <v>0.04909615772308669</v>
      </c>
      <c r="AI40" s="228">
        <f>AI11/AI30</f>
        <v>0.020636491059438152</v>
      </c>
      <c r="AJ40" s="167"/>
    </row>
    <row r="41" spans="1:36" ht="12.75" hidden="1">
      <c r="A41" s="21"/>
      <c r="B41" s="76" t="s">
        <v>234</v>
      </c>
      <c r="C41" s="228">
        <f>C12/C30</f>
        <v>0.008550147523056925</v>
      </c>
      <c r="D41" s="228">
        <f>D12/D30</f>
        <v>0.005326974785652681</v>
      </c>
      <c r="E41" s="228">
        <f>E12/E30</f>
        <v>0.005571474052849411</v>
      </c>
      <c r="F41" s="228">
        <f>F12/F30</f>
        <v>0</v>
      </c>
      <c r="G41" s="373" t="s">
        <v>19</v>
      </c>
      <c r="H41" s="228">
        <f aca="true" t="shared" si="14" ref="H41:AI41">H12/H30</f>
        <v>0.006772673733804476</v>
      </c>
      <c r="I41" s="228">
        <f t="shared" si="14"/>
        <v>0.005594405594405594</v>
      </c>
      <c r="J41" s="228">
        <f t="shared" si="14"/>
        <v>0.0019885657469550086</v>
      </c>
      <c r="K41" s="228">
        <f t="shared" si="14"/>
        <v>0.0026552287581699347</v>
      </c>
      <c r="L41" s="228">
        <f t="shared" si="14"/>
        <v>0.003427592116538132</v>
      </c>
      <c r="M41" s="228">
        <f t="shared" si="14"/>
        <v>0.0024703447354950704</v>
      </c>
      <c r="N41" s="228">
        <f t="shared" si="14"/>
        <v>0.008107656302240054</v>
      </c>
      <c r="O41" s="228">
        <f t="shared" si="14"/>
        <v>0.01082312731415551</v>
      </c>
      <c r="P41" s="228">
        <f t="shared" si="14"/>
        <v>0.004855005904736911</v>
      </c>
      <c r="Q41" s="228">
        <f t="shared" si="14"/>
        <v>0.047612615654757884</v>
      </c>
      <c r="R41" s="228">
        <f t="shared" si="14"/>
        <v>0.03764898181570524</v>
      </c>
      <c r="S41" s="228">
        <f t="shared" si="14"/>
        <v>0.025534851621808144</v>
      </c>
      <c r="T41" s="228">
        <f t="shared" si="14"/>
        <v>0.054302807179015186</v>
      </c>
      <c r="U41" s="228">
        <f t="shared" si="14"/>
        <v>0.05171116961263633</v>
      </c>
      <c r="V41" s="228">
        <f t="shared" si="14"/>
        <v>0.022857142857142857</v>
      </c>
      <c r="W41" s="228">
        <f t="shared" si="14"/>
        <v>0.01621050921789978</v>
      </c>
      <c r="X41" s="228">
        <f t="shared" si="14"/>
        <v>0.03811821471652593</v>
      </c>
      <c r="Y41" s="228">
        <f t="shared" si="14"/>
        <v>0.02384891094568514</v>
      </c>
      <c r="Z41" s="228">
        <f t="shared" si="14"/>
        <v>0.014899211218229623</v>
      </c>
      <c r="AA41" s="228">
        <f t="shared" si="14"/>
        <v>0.009493031710765503</v>
      </c>
      <c r="AB41" s="228">
        <f t="shared" si="14"/>
        <v>0.015281662005593288</v>
      </c>
      <c r="AC41" s="228">
        <f t="shared" si="14"/>
        <v>0.014696876913655848</v>
      </c>
      <c r="AD41" s="228">
        <f t="shared" si="14"/>
        <v>0.007024645791165615</v>
      </c>
      <c r="AE41" s="228">
        <f t="shared" si="14"/>
        <v>0.0038082218533346352</v>
      </c>
      <c r="AF41" s="228">
        <f t="shared" si="14"/>
        <v>0.008435024619995719</v>
      </c>
      <c r="AG41" s="228">
        <f t="shared" si="14"/>
        <v>0.010311294542904156</v>
      </c>
      <c r="AH41" s="228">
        <f t="shared" si="14"/>
        <v>0.008883290463438104</v>
      </c>
      <c r="AI41" s="228">
        <f t="shared" si="14"/>
        <v>0.008689774279202969</v>
      </c>
      <c r="AJ41" s="167"/>
    </row>
    <row r="42" spans="1:36" ht="12.75" hidden="1">
      <c r="A42" s="21"/>
      <c r="B42" s="76" t="s">
        <v>235</v>
      </c>
      <c r="C42" s="228">
        <f>C13/C30</f>
        <v>0.034607052221098895</v>
      </c>
      <c r="D42" s="228">
        <f>D13/D30</f>
        <v>0.003551316523768454</v>
      </c>
      <c r="E42" s="228">
        <f>E13/E30</f>
        <v>0.0037143160352329408</v>
      </c>
      <c r="F42" s="373" t="s">
        <v>19</v>
      </c>
      <c r="G42" s="373" t="s">
        <v>19</v>
      </c>
      <c r="H42" s="228">
        <f aca="true" t="shared" si="15" ref="H42:AI42">H13/H30</f>
        <v>0.059481743227326266</v>
      </c>
      <c r="I42" s="228">
        <f t="shared" si="15"/>
        <v>0.015003178639542276</v>
      </c>
      <c r="J42" s="228">
        <f t="shared" si="15"/>
        <v>0.011384538901317425</v>
      </c>
      <c r="K42" s="228">
        <f t="shared" si="15"/>
        <v>0.013276143790849673</v>
      </c>
      <c r="L42" s="228">
        <f t="shared" si="15"/>
        <v>0.011568123393316195</v>
      </c>
      <c r="M42" s="228">
        <f t="shared" si="15"/>
        <v>0.007121714552778581</v>
      </c>
      <c r="N42" s="228">
        <f t="shared" si="15"/>
        <v>0.007833022878158284</v>
      </c>
      <c r="O42" s="228">
        <f t="shared" si="15"/>
        <v>0.010845036478759064</v>
      </c>
      <c r="P42" s="228">
        <f t="shared" si="15"/>
        <v>0.00422516730087915</v>
      </c>
      <c r="Q42" s="228">
        <f t="shared" si="15"/>
        <v>0.006145741878841089</v>
      </c>
      <c r="R42" s="228">
        <f t="shared" si="15"/>
        <v>0.030388885105223726</v>
      </c>
      <c r="S42" s="228">
        <f t="shared" si="15"/>
        <v>0.023083696247114538</v>
      </c>
      <c r="T42" s="228">
        <f t="shared" si="15"/>
        <v>0.04586593035741678</v>
      </c>
      <c r="U42" s="228">
        <f t="shared" si="15"/>
        <v>0.012222640090259496</v>
      </c>
      <c r="V42" s="228">
        <f t="shared" si="15"/>
        <v>0.005714285714285714</v>
      </c>
      <c r="W42" s="228">
        <f t="shared" si="15"/>
        <v>0.009226021278323723</v>
      </c>
      <c r="X42" s="228">
        <f t="shared" si="15"/>
        <v>0.013268998793727383</v>
      </c>
      <c r="Y42" s="228">
        <f t="shared" si="15"/>
        <v>0.01033912324234905</v>
      </c>
      <c r="Z42" s="228">
        <f t="shared" si="15"/>
        <v>0.0035056967572304996</v>
      </c>
      <c r="AA42" s="228">
        <f t="shared" si="15"/>
        <v>0.012320743284185013</v>
      </c>
      <c r="AB42" s="228">
        <f t="shared" si="15"/>
        <v>0.00998801438274071</v>
      </c>
      <c r="AC42" s="228">
        <f t="shared" si="15"/>
        <v>0.006889161053276179</v>
      </c>
      <c r="AD42" s="228">
        <f t="shared" si="15"/>
        <v>0.0035718537921181092</v>
      </c>
      <c r="AE42" s="228">
        <f t="shared" si="15"/>
        <v>0.0019529342837613514</v>
      </c>
      <c r="AF42" s="228">
        <f t="shared" si="15"/>
        <v>0.004281738385784628</v>
      </c>
      <c r="AG42" s="228">
        <f t="shared" si="15"/>
        <v>0.09826414178198592</v>
      </c>
      <c r="AH42" s="228">
        <f t="shared" si="15"/>
        <v>0.010310221717664924</v>
      </c>
      <c r="AI42" s="228">
        <f t="shared" si="15"/>
        <v>0.024424372117216372</v>
      </c>
      <c r="AJ42" s="167"/>
    </row>
    <row r="43" spans="1:36" ht="12.75" hidden="1">
      <c r="A43" s="21"/>
      <c r="B43" s="76" t="s">
        <v>76</v>
      </c>
      <c r="C43" s="228">
        <f>C14/C30</f>
        <v>0.010509212453834568</v>
      </c>
      <c r="D43" s="228">
        <f aca="true" t="shared" si="16" ref="D43:AI43">D14/D30</f>
        <v>0.006087971183603064</v>
      </c>
      <c r="E43" s="228">
        <f t="shared" si="16"/>
        <v>0.005518412395203226</v>
      </c>
      <c r="F43" s="228">
        <f t="shared" si="16"/>
        <v>0</v>
      </c>
      <c r="G43" s="228">
        <f t="shared" si="16"/>
        <v>0.02882882882882883</v>
      </c>
      <c r="H43" s="228">
        <f t="shared" si="16"/>
        <v>0.010306242638398116</v>
      </c>
      <c r="I43" s="228">
        <f t="shared" si="16"/>
        <v>0.003814367450731087</v>
      </c>
      <c r="J43" s="228">
        <f t="shared" si="16"/>
        <v>0.0030325627641063883</v>
      </c>
      <c r="K43" s="228">
        <f t="shared" si="16"/>
        <v>0.004697712418300653</v>
      </c>
      <c r="L43" s="228">
        <f t="shared" si="16"/>
        <v>0.004712939160239932</v>
      </c>
      <c r="M43" s="228">
        <f t="shared" si="16"/>
        <v>0.004117241225825117</v>
      </c>
      <c r="N43" s="228">
        <f t="shared" si="16"/>
        <v>0.0049792233844390315</v>
      </c>
      <c r="O43" s="228">
        <f t="shared" si="16"/>
        <v>0.007120478496154941</v>
      </c>
      <c r="P43" s="228">
        <f t="shared" si="16"/>
        <v>0.0024143813147880855</v>
      </c>
      <c r="Q43" s="228">
        <f t="shared" si="16"/>
        <v>0.007699061254811913</v>
      </c>
      <c r="R43" s="228">
        <f t="shared" si="16"/>
        <v>0.041353946741129195</v>
      </c>
      <c r="S43" s="228">
        <f t="shared" si="16"/>
        <v>0.0202279812474715</v>
      </c>
      <c r="T43" s="228">
        <f t="shared" si="16"/>
        <v>0.08206780181009357</v>
      </c>
      <c r="U43" s="228">
        <f t="shared" si="16"/>
        <v>0.008649868371568259</v>
      </c>
      <c r="V43" s="228">
        <f t="shared" si="16"/>
        <v>0.0067857142857142855</v>
      </c>
      <c r="W43" s="228">
        <f t="shared" si="16"/>
        <v>0.011418825631446439</v>
      </c>
      <c r="X43" s="228">
        <f t="shared" si="16"/>
        <v>0.009408926417370326</v>
      </c>
      <c r="Y43" s="228">
        <f t="shared" si="16"/>
        <v>0.009374138406396471</v>
      </c>
      <c r="Z43" s="228">
        <f t="shared" si="16"/>
        <v>0.005959684487291849</v>
      </c>
      <c r="AA43" s="228">
        <f t="shared" si="16"/>
        <v>0.005251464350636235</v>
      </c>
      <c r="AB43" s="228">
        <f t="shared" si="16"/>
        <v>0.03715541350379545</v>
      </c>
      <c r="AC43" s="228">
        <f t="shared" si="16"/>
        <v>0.005715452133088385</v>
      </c>
      <c r="AD43" s="228">
        <f t="shared" si="16"/>
        <v>0.0036016192403857603</v>
      </c>
      <c r="AE43" s="228">
        <f t="shared" si="16"/>
        <v>0.0033199882823942975</v>
      </c>
      <c r="AF43" s="228">
        <f t="shared" si="16"/>
        <v>0.003725112395632627</v>
      </c>
      <c r="AG43" s="228">
        <f t="shared" si="16"/>
        <v>0.018656766744894932</v>
      </c>
      <c r="AH43" s="228">
        <f t="shared" si="16"/>
        <v>0.015212974493961279</v>
      </c>
      <c r="AI43" s="228">
        <f t="shared" si="16"/>
        <v>0.012480651604231448</v>
      </c>
      <c r="AJ43" s="167"/>
    </row>
    <row r="44" spans="1:36" ht="12.75" hidden="1">
      <c r="A44" s="21"/>
      <c r="B44" s="76" t="s">
        <v>236</v>
      </c>
      <c r="C44" s="228">
        <f>C15/C30</f>
        <v>0.0038778963005756495</v>
      </c>
      <c r="D44" s="373" t="s">
        <v>19</v>
      </c>
      <c r="E44" s="373" t="s">
        <v>19</v>
      </c>
      <c r="F44" s="373" t="s">
        <v>19</v>
      </c>
      <c r="G44" s="373" t="s">
        <v>19</v>
      </c>
      <c r="H44" s="228">
        <f aca="true" t="shared" si="17" ref="H44:AI44">H15/H30</f>
        <v>0.0002944640753828033</v>
      </c>
      <c r="I44" s="228">
        <f t="shared" si="17"/>
        <v>0.00012714558169103624</v>
      </c>
      <c r="J44" s="228">
        <f t="shared" si="17"/>
        <v>4.971414367387522E-05</v>
      </c>
      <c r="K44" s="228">
        <f t="shared" si="17"/>
        <v>0</v>
      </c>
      <c r="L44" s="228">
        <f t="shared" si="17"/>
        <v>0</v>
      </c>
      <c r="M44" s="228">
        <f t="shared" si="17"/>
        <v>0.0013687045156121336</v>
      </c>
      <c r="N44" s="228">
        <f t="shared" si="17"/>
        <v>0.0015761570425562401</v>
      </c>
      <c r="O44" s="228">
        <f t="shared" si="17"/>
        <v>0.0016212781806629712</v>
      </c>
      <c r="P44" s="228">
        <f t="shared" si="17"/>
        <v>0.0015221099593229234</v>
      </c>
      <c r="Q44" s="228">
        <f t="shared" si="17"/>
        <v>0.001485783750928615</v>
      </c>
      <c r="R44" s="228">
        <f t="shared" si="17"/>
        <v>0.040386841926036914</v>
      </c>
      <c r="S44" s="228">
        <f t="shared" si="17"/>
        <v>0.02241736274719783</v>
      </c>
      <c r="T44" s="228">
        <f t="shared" si="17"/>
        <v>0.06419696272434422</v>
      </c>
      <c r="U44" s="228">
        <f t="shared" si="17"/>
        <v>0.06562617525385483</v>
      </c>
      <c r="V44" s="228">
        <f t="shared" si="17"/>
        <v>0.0010714285714285715</v>
      </c>
      <c r="W44" s="228">
        <f t="shared" si="17"/>
        <v>0.0050190855193697715</v>
      </c>
      <c r="X44" s="228">
        <f t="shared" si="17"/>
        <v>0.0026537997587454767</v>
      </c>
      <c r="Y44" s="228">
        <f t="shared" si="17"/>
        <v>0.0028949545078577337</v>
      </c>
      <c r="Z44" s="228">
        <f t="shared" si="17"/>
        <v>0.0021034180543382996</v>
      </c>
      <c r="AA44" s="228">
        <f t="shared" si="17"/>
        <v>0.006396014273210799</v>
      </c>
      <c r="AB44" s="228">
        <f t="shared" si="17"/>
        <v>0.0059928086296444265</v>
      </c>
      <c r="AC44" s="228">
        <f t="shared" si="17"/>
        <v>0.005613390487854664</v>
      </c>
      <c r="AD44" s="228">
        <f t="shared" si="17"/>
        <v>0.0002083581378735564</v>
      </c>
      <c r="AE44" s="228">
        <f t="shared" si="17"/>
        <v>0.00019529342837613513</v>
      </c>
      <c r="AF44" s="228">
        <f t="shared" si="17"/>
        <v>0.00021408691928923143</v>
      </c>
      <c r="AG44" s="228">
        <f t="shared" si="17"/>
        <v>0.0011026139030509024</v>
      </c>
      <c r="AH44" s="228">
        <f t="shared" si="17"/>
        <v>0.0018987622300733625</v>
      </c>
      <c r="AI44" s="228">
        <f t="shared" si="17"/>
        <v>0.0030478030469640923</v>
      </c>
      <c r="AJ44" s="167"/>
    </row>
    <row r="45" spans="1:36" ht="12.75" hidden="1">
      <c r="A45" s="21"/>
      <c r="B45" s="76" t="s">
        <v>237</v>
      </c>
      <c r="C45" s="228">
        <f>C16/C30</f>
        <v>0.0016506076299337693</v>
      </c>
      <c r="D45" s="373" t="s">
        <v>19</v>
      </c>
      <c r="E45" s="373" t="s">
        <v>19</v>
      </c>
      <c r="F45" s="228">
        <f>F16/F30</f>
        <v>0</v>
      </c>
      <c r="G45" s="373" t="s">
        <v>19</v>
      </c>
      <c r="H45" s="373" t="s">
        <v>19</v>
      </c>
      <c r="I45" s="373" t="s">
        <v>19</v>
      </c>
      <c r="J45" s="373" t="s">
        <v>19</v>
      </c>
      <c r="K45" s="373" t="s">
        <v>19</v>
      </c>
      <c r="L45" s="373" t="s">
        <v>19</v>
      </c>
      <c r="M45" s="228">
        <f aca="true" t="shared" si="18" ref="M45:AI45">M16/M30</f>
        <v>0.0019362161440366768</v>
      </c>
      <c r="N45" s="228">
        <f t="shared" si="18"/>
        <v>0.00041792042795051824</v>
      </c>
      <c r="O45" s="228">
        <f t="shared" si="18"/>
        <v>0.000197182481431983</v>
      </c>
      <c r="P45" s="228">
        <f t="shared" si="18"/>
        <v>0.0006823251541792415</v>
      </c>
      <c r="Q45" s="228">
        <f t="shared" si="18"/>
        <v>0.0002701425001688391</v>
      </c>
      <c r="R45" s="228">
        <f t="shared" si="18"/>
        <v>0.00400463120615678</v>
      </c>
      <c r="S45" s="228">
        <f t="shared" si="18"/>
        <v>0.003688631874538921</v>
      </c>
      <c r="T45" s="228">
        <f t="shared" si="18"/>
        <v>0.0051771744132535664</v>
      </c>
      <c r="U45" s="228">
        <f t="shared" si="18"/>
        <v>0.000752162467092892</v>
      </c>
      <c r="V45" s="228">
        <f t="shared" si="18"/>
        <v>0.0007142857142857143</v>
      </c>
      <c r="W45" s="228">
        <f t="shared" si="18"/>
        <v>0.005701291318119061</v>
      </c>
      <c r="X45" s="228">
        <f t="shared" si="18"/>
        <v>0.034016887816646565</v>
      </c>
      <c r="Y45" s="228">
        <f t="shared" si="18"/>
        <v>0.0027570995312930797</v>
      </c>
      <c r="Z45" s="228">
        <f t="shared" si="18"/>
        <v>0.0010517090271691498</v>
      </c>
      <c r="AA45" s="228">
        <f t="shared" si="18"/>
        <v>0.004510873224264458</v>
      </c>
      <c r="AB45" s="228">
        <f t="shared" si="18"/>
        <v>0.0011985617259288853</v>
      </c>
      <c r="AC45" s="228">
        <f t="shared" si="18"/>
        <v>0.005358236374770361</v>
      </c>
      <c r="AD45" s="228">
        <f t="shared" si="18"/>
        <v>0.0021728777235385166</v>
      </c>
      <c r="AE45" s="228">
        <f t="shared" si="18"/>
        <v>0</v>
      </c>
      <c r="AF45" s="228">
        <f t="shared" si="18"/>
        <v>0.003125669021622779</v>
      </c>
      <c r="AG45" s="228">
        <f t="shared" si="18"/>
        <v>0.0023670793882010197</v>
      </c>
      <c r="AH45" s="228">
        <f t="shared" si="18"/>
        <v>0.003347140346838661</v>
      </c>
      <c r="AI45" s="228">
        <f t="shared" si="18"/>
        <v>0.0023616578466546375</v>
      </c>
      <c r="AJ45" s="167"/>
    </row>
    <row r="46" spans="1:36" ht="12.75" hidden="1">
      <c r="A46" s="21"/>
      <c r="B46" s="76" t="s">
        <v>238</v>
      </c>
      <c r="C46" s="228">
        <f>C17/C30</f>
        <v>0.005378917614046671</v>
      </c>
      <c r="D46" s="228">
        <f>D17/D30</f>
        <v>0.0026888539394246866</v>
      </c>
      <c r="E46" s="228">
        <f>E17/E30</f>
        <v>0.0028122678552477977</v>
      </c>
      <c r="F46" s="228">
        <f>F17/F30</f>
        <v>0</v>
      </c>
      <c r="G46" s="373" t="s">
        <v>19</v>
      </c>
      <c r="H46" s="228">
        <f aca="true" t="shared" si="19" ref="H46:AI46">H17/H30</f>
        <v>0.005889281507656066</v>
      </c>
      <c r="I46" s="228">
        <f t="shared" si="19"/>
        <v>0.0013986013986013986</v>
      </c>
      <c r="J46" s="228">
        <f t="shared" si="19"/>
        <v>0.0010937111608252548</v>
      </c>
      <c r="K46" s="228">
        <f t="shared" si="19"/>
        <v>0.0012254901960784314</v>
      </c>
      <c r="L46" s="228">
        <f t="shared" si="19"/>
        <v>0.0010711225364181663</v>
      </c>
      <c r="M46" s="228">
        <f t="shared" si="19"/>
        <v>0.004273028731667149</v>
      </c>
      <c r="N46" s="228">
        <f t="shared" si="19"/>
        <v>0.004131441944882266</v>
      </c>
      <c r="O46" s="228">
        <f t="shared" si="19"/>
        <v>0.005937383607563043</v>
      </c>
      <c r="P46" s="228">
        <f t="shared" si="19"/>
        <v>0.0019682456370555047</v>
      </c>
      <c r="Q46" s="228">
        <f t="shared" si="19"/>
        <v>0.001755926251097454</v>
      </c>
      <c r="R46" s="228">
        <f t="shared" si="19"/>
        <v>0.016073009602942178</v>
      </c>
      <c r="S46" s="228">
        <f t="shared" si="19"/>
        <v>0.012017800623497775</v>
      </c>
      <c r="T46" s="228">
        <f t="shared" si="19"/>
        <v>0.02504218438410799</v>
      </c>
      <c r="U46" s="228">
        <f t="shared" si="19"/>
        <v>0.004136893569010906</v>
      </c>
      <c r="V46" s="228">
        <f t="shared" si="19"/>
        <v>0.015357142857142857</v>
      </c>
      <c r="W46" s="228">
        <f t="shared" si="19"/>
        <v>0.02803540972955413</v>
      </c>
      <c r="X46" s="228">
        <f t="shared" si="19"/>
        <v>0.0255729794933655</v>
      </c>
      <c r="Y46" s="228">
        <f t="shared" si="19"/>
        <v>0.0692031982354563</v>
      </c>
      <c r="Z46" s="228">
        <f t="shared" si="19"/>
        <v>0.024539877300613498</v>
      </c>
      <c r="AA46" s="228">
        <f t="shared" si="19"/>
        <v>0.02417020130613344</v>
      </c>
      <c r="AB46" s="228">
        <f t="shared" si="19"/>
        <v>0.02796644027167399</v>
      </c>
      <c r="AC46" s="228">
        <f t="shared" si="19"/>
        <v>0.01729944886711574</v>
      </c>
      <c r="AD46" s="228">
        <f t="shared" si="19"/>
        <v>0.0024110013096797236</v>
      </c>
      <c r="AE46" s="228">
        <f t="shared" si="19"/>
        <v>0.000683526999316473</v>
      </c>
      <c r="AF46" s="228">
        <f t="shared" si="19"/>
        <v>0.003168486405480625</v>
      </c>
      <c r="AG46" s="228">
        <f t="shared" si="19"/>
        <v>0.005587251490383319</v>
      </c>
      <c r="AH46" s="228">
        <f t="shared" si="19"/>
        <v>0.0029024753968741913</v>
      </c>
      <c r="AI46" s="228">
        <f t="shared" si="19"/>
        <v>0.004341591245626199</v>
      </c>
      <c r="AJ46" s="167"/>
    </row>
    <row r="47" spans="1:36" ht="12.75" hidden="1">
      <c r="A47" s="21"/>
      <c r="B47" s="76" t="s">
        <v>239</v>
      </c>
      <c r="C47" s="228">
        <f>C18/C30</f>
        <v>0.005759588998700146</v>
      </c>
      <c r="D47" s="228">
        <f>D18/D30</f>
        <v>0.0021307899142610724</v>
      </c>
      <c r="E47" s="228">
        <f>E18/E30</f>
        <v>0.002228589621139764</v>
      </c>
      <c r="F47" s="373" t="s">
        <v>19</v>
      </c>
      <c r="G47" s="373" t="s">
        <v>19</v>
      </c>
      <c r="H47" s="228">
        <f aca="true" t="shared" si="20" ref="H47:AI47">H18/H30</f>
        <v>0.011484098939929329</v>
      </c>
      <c r="I47" s="228">
        <f t="shared" si="20"/>
        <v>0.002797202797202797</v>
      </c>
      <c r="J47" s="228">
        <f t="shared" si="20"/>
        <v>0.002137708177976634</v>
      </c>
      <c r="K47" s="228">
        <f t="shared" si="20"/>
        <v>0.0024509803921568627</v>
      </c>
      <c r="L47" s="228">
        <f t="shared" si="20"/>
        <v>0.0019280205655526992</v>
      </c>
      <c r="M47" s="228">
        <f t="shared" si="20"/>
        <v>0.005942180579974629</v>
      </c>
      <c r="N47" s="228">
        <f t="shared" si="20"/>
        <v>0.006615083345273917</v>
      </c>
      <c r="O47" s="228">
        <f t="shared" si="20"/>
        <v>0.007208115154569156</v>
      </c>
      <c r="P47" s="228">
        <f t="shared" si="20"/>
        <v>0.005904736911166514</v>
      </c>
      <c r="Q47" s="228">
        <f t="shared" si="20"/>
        <v>0.002296211251435132</v>
      </c>
      <c r="R47" s="228">
        <f t="shared" si="20"/>
        <v>0.01769393175781516</v>
      </c>
      <c r="S47" s="228">
        <f t="shared" si="20"/>
        <v>0.014778325123152709</v>
      </c>
      <c r="T47" s="228">
        <f t="shared" si="20"/>
        <v>0.025579076545482436</v>
      </c>
      <c r="U47" s="228">
        <f t="shared" si="20"/>
        <v>0.002068446784505453</v>
      </c>
      <c r="V47" s="228">
        <f t="shared" si="20"/>
        <v>0.0025</v>
      </c>
      <c r="W47" s="228">
        <f t="shared" si="20"/>
        <v>0.020271258019978883</v>
      </c>
      <c r="X47" s="228">
        <f t="shared" si="20"/>
        <v>0.019782870928829917</v>
      </c>
      <c r="Y47" s="228">
        <f t="shared" si="20"/>
        <v>0.02384891094568514</v>
      </c>
      <c r="Z47" s="228">
        <f t="shared" si="20"/>
        <v>0.02068361086765995</v>
      </c>
      <c r="AA47" s="228">
        <f t="shared" si="20"/>
        <v>0.027671177539890932</v>
      </c>
      <c r="AB47" s="228">
        <f t="shared" si="20"/>
        <v>0.011985617259288853</v>
      </c>
      <c r="AC47" s="228">
        <f t="shared" si="20"/>
        <v>0.01755460298020004</v>
      </c>
      <c r="AD47" s="228">
        <f t="shared" si="20"/>
        <v>0.0034527919990475055</v>
      </c>
      <c r="AE47" s="228">
        <f t="shared" si="20"/>
        <v>0.0008788204276926081</v>
      </c>
      <c r="AF47" s="228">
        <f t="shared" si="20"/>
        <v>0.004581460072789553</v>
      </c>
      <c r="AG47" s="228">
        <f t="shared" si="20"/>
        <v>0.007344015537751882</v>
      </c>
      <c r="AH47" s="228">
        <f t="shared" si="20"/>
        <v>0.0001658557369642395</v>
      </c>
      <c r="AI47" s="228">
        <f t="shared" si="20"/>
        <v>0.0034145461583958703</v>
      </c>
      <c r="AJ47" s="167"/>
    </row>
    <row r="48" spans="1:36" ht="12.75" hidden="1">
      <c r="A48" s="21"/>
      <c r="B48" s="76" t="s">
        <v>240</v>
      </c>
      <c r="C48" s="228">
        <f>C19/C30</f>
        <v>0.009075247075329605</v>
      </c>
      <c r="D48" s="228">
        <f>D19/D30</f>
        <v>0.003196184871391609</v>
      </c>
      <c r="E48" s="228">
        <f>E19/E30</f>
        <v>0.0033428844317096467</v>
      </c>
      <c r="F48" s="373" t="s">
        <v>19</v>
      </c>
      <c r="G48" s="373" t="s">
        <v>19</v>
      </c>
      <c r="H48" s="228">
        <f aca="true" t="shared" si="21" ref="H48:AI48">H19/H30</f>
        <v>0.02944640753828033</v>
      </c>
      <c r="I48" s="228">
        <f t="shared" si="21"/>
        <v>0.018054672600127147</v>
      </c>
      <c r="J48" s="228">
        <f t="shared" si="21"/>
        <v>0.017002237136465325</v>
      </c>
      <c r="K48" s="228">
        <f t="shared" si="21"/>
        <v>0.013888888888888888</v>
      </c>
      <c r="L48" s="228">
        <f t="shared" si="21"/>
        <v>0.015638389031705228</v>
      </c>
      <c r="M48" s="228">
        <f t="shared" si="21"/>
        <v>0.007210735984688314</v>
      </c>
      <c r="N48" s="228">
        <f t="shared" si="21"/>
        <v>0.0025433443186702966</v>
      </c>
      <c r="O48" s="228">
        <f t="shared" si="21"/>
        <v>0.0023223714479766885</v>
      </c>
      <c r="P48" s="228">
        <f t="shared" si="21"/>
        <v>0.0028080304421991865</v>
      </c>
      <c r="Q48" s="228">
        <f t="shared" si="21"/>
        <v>0.0032417100020260686</v>
      </c>
      <c r="R48" s="228">
        <f t="shared" si="21"/>
        <v>0.007995641217734795</v>
      </c>
      <c r="S48" s="228">
        <f t="shared" si="21"/>
        <v>0.005449656124318793</v>
      </c>
      <c r="T48" s="228">
        <f t="shared" si="21"/>
        <v>0.013537352354655622</v>
      </c>
      <c r="U48" s="228">
        <f t="shared" si="21"/>
        <v>0.000940203083866115</v>
      </c>
      <c r="V48" s="228">
        <f t="shared" si="21"/>
        <v>0.011428571428571429</v>
      </c>
      <c r="W48" s="228">
        <f t="shared" si="21"/>
        <v>0.02296759522455941</v>
      </c>
      <c r="X48" s="228">
        <f t="shared" si="21"/>
        <v>0.030398069963811822</v>
      </c>
      <c r="Y48" s="228">
        <f t="shared" si="21"/>
        <v>0.008409153570443893</v>
      </c>
      <c r="Z48" s="228">
        <f t="shared" si="21"/>
        <v>0.010867659947414548</v>
      </c>
      <c r="AA48" s="228">
        <f t="shared" si="21"/>
        <v>0.03770282097892682</v>
      </c>
      <c r="AB48" s="228">
        <f t="shared" si="21"/>
        <v>0.023971234518577706</v>
      </c>
      <c r="AC48" s="228">
        <f t="shared" si="21"/>
        <v>0.018626250255154114</v>
      </c>
      <c r="AD48" s="228">
        <f t="shared" si="21"/>
        <v>0.0042564591022740805</v>
      </c>
      <c r="AE48" s="228">
        <f t="shared" si="21"/>
        <v>0.0009764671418806757</v>
      </c>
      <c r="AF48" s="228">
        <f t="shared" si="21"/>
        <v>0.005694712053093556</v>
      </c>
      <c r="AG48" s="228">
        <f t="shared" si="21"/>
        <v>0.017321491192576408</v>
      </c>
      <c r="AH48" s="228">
        <f t="shared" si="21"/>
        <v>0.008770336987402113</v>
      </c>
      <c r="AI48" s="228">
        <f t="shared" si="21"/>
        <v>0.008947453262725297</v>
      </c>
      <c r="AJ48" s="167"/>
    </row>
    <row r="49" spans="1:36" ht="12.75" hidden="1">
      <c r="A49" s="21"/>
      <c r="B49" s="76" t="s">
        <v>134</v>
      </c>
      <c r="C49" s="228">
        <f>C20/C30</f>
        <v>0.008199393401695999</v>
      </c>
      <c r="D49" s="228">
        <f>D20/D30</f>
        <v>0.000760996397950383</v>
      </c>
      <c r="E49" s="228">
        <f>E20/E30</f>
        <v>0.000795924864692773</v>
      </c>
      <c r="F49" s="373" t="s">
        <v>19</v>
      </c>
      <c r="G49" s="373" t="s">
        <v>19</v>
      </c>
      <c r="H49" s="228">
        <f aca="true" t="shared" si="22" ref="H49:AI49">H20/H30</f>
        <v>0.011484098939929329</v>
      </c>
      <c r="I49" s="228">
        <f t="shared" si="22"/>
        <v>0.002797202797202797</v>
      </c>
      <c r="J49" s="228">
        <f t="shared" si="22"/>
        <v>0.0021874223216505097</v>
      </c>
      <c r="K49" s="228">
        <f t="shared" si="22"/>
        <v>0.0024509803921568627</v>
      </c>
      <c r="L49" s="228">
        <f t="shared" si="22"/>
        <v>0.0019280205655526992</v>
      </c>
      <c r="M49" s="228">
        <f t="shared" si="22"/>
        <v>0.005864286827053613</v>
      </c>
      <c r="N49" s="228">
        <f t="shared" si="22"/>
        <v>0.013098820270334814</v>
      </c>
      <c r="O49" s="228">
        <f t="shared" si="22"/>
        <v>0.012816861293078895</v>
      </c>
      <c r="P49" s="228">
        <f t="shared" si="22"/>
        <v>0.013436556882298912</v>
      </c>
      <c r="Q49" s="228">
        <f t="shared" si="22"/>
        <v>0.010940771256837982</v>
      </c>
      <c r="R49" s="228">
        <f t="shared" si="22"/>
        <v>0.02190288088265341</v>
      </c>
      <c r="S49" s="228">
        <f t="shared" si="22"/>
        <v>0.016539349372932582</v>
      </c>
      <c r="T49" s="228">
        <f t="shared" si="22"/>
        <v>0.03416935112747354</v>
      </c>
      <c r="U49" s="228">
        <f t="shared" si="22"/>
        <v>0.004136893569010906</v>
      </c>
      <c r="V49" s="228">
        <f t="shared" si="22"/>
        <v>0.05392857142857143</v>
      </c>
      <c r="W49" s="228">
        <f t="shared" si="22"/>
        <v>0.021716884593519045</v>
      </c>
      <c r="X49" s="228">
        <f t="shared" si="22"/>
        <v>0.024125452352231604</v>
      </c>
      <c r="Y49" s="228">
        <f t="shared" si="22"/>
        <v>0.012958367797077475</v>
      </c>
      <c r="Z49" s="228">
        <f t="shared" si="22"/>
        <v>0.007887817703768623</v>
      </c>
      <c r="AA49" s="228">
        <f t="shared" si="22"/>
        <v>0.024035548374065845</v>
      </c>
      <c r="AB49" s="228">
        <f t="shared" si="22"/>
        <v>0.039552536955653216</v>
      </c>
      <c r="AC49" s="228">
        <f t="shared" si="22"/>
        <v>0.017605633802816902</v>
      </c>
      <c r="AD49" s="228">
        <f t="shared" si="22"/>
        <v>0.013632575306584117</v>
      </c>
      <c r="AE49" s="228">
        <f t="shared" si="22"/>
        <v>0.0024411678547016894</v>
      </c>
      <c r="AF49" s="228">
        <f t="shared" si="22"/>
        <v>0.018539927210447442</v>
      </c>
      <c r="AG49" s="228">
        <f t="shared" si="22"/>
        <v>0.012017479970866714</v>
      </c>
      <c r="AH49" s="228">
        <f t="shared" si="22"/>
        <v>0.0005347417726260825</v>
      </c>
      <c r="AI49" s="228">
        <f t="shared" si="22"/>
        <v>0.004986987211332123</v>
      </c>
      <c r="AJ49" s="167"/>
    </row>
    <row r="50" spans="1:36" ht="12.75" hidden="1">
      <c r="A50" s="21"/>
      <c r="B50" s="76" t="s">
        <v>241</v>
      </c>
      <c r="C50" s="228">
        <f>C21/C30</f>
        <v>0.00934553407473126</v>
      </c>
      <c r="D50" s="228">
        <f>D21/D30</f>
        <v>0.000760996397950383</v>
      </c>
      <c r="E50" s="228">
        <f>E21/E30</f>
        <v>0.000795924864692773</v>
      </c>
      <c r="F50" s="228">
        <f>F21/F30</f>
        <v>0</v>
      </c>
      <c r="G50" s="373" t="s">
        <v>19</v>
      </c>
      <c r="H50" s="228">
        <f aca="true" t="shared" si="23" ref="H50:AI50">H21/H30</f>
        <v>0.010011778563015312</v>
      </c>
      <c r="I50" s="228">
        <f t="shared" si="23"/>
        <v>0.0024157660521296883</v>
      </c>
      <c r="J50" s="228">
        <f t="shared" si="23"/>
        <v>0.0018891374596072582</v>
      </c>
      <c r="K50" s="228">
        <f t="shared" si="23"/>
        <v>0.002042483660130719</v>
      </c>
      <c r="L50" s="228">
        <f t="shared" si="23"/>
        <v>0.001713796058269066</v>
      </c>
      <c r="M50" s="228">
        <f t="shared" si="23"/>
        <v>0.005441435025482385</v>
      </c>
      <c r="N50" s="228">
        <f t="shared" si="23"/>
        <v>0.01092563404499212</v>
      </c>
      <c r="O50" s="228">
        <f t="shared" si="23"/>
        <v>0.012619678811646912</v>
      </c>
      <c r="P50" s="228">
        <f t="shared" si="23"/>
        <v>0.00889647027949088</v>
      </c>
      <c r="Q50" s="228">
        <f t="shared" si="23"/>
        <v>0.02323225501452016</v>
      </c>
      <c r="R50" s="228">
        <f t="shared" si="23"/>
        <v>0.027841721718994756</v>
      </c>
      <c r="S50" s="228">
        <f t="shared" si="23"/>
        <v>0.026986506746626688</v>
      </c>
      <c r="T50" s="228">
        <f t="shared" si="23"/>
        <v>0.03064120263844148</v>
      </c>
      <c r="U50" s="228">
        <f t="shared" si="23"/>
        <v>0.020872508461827755</v>
      </c>
      <c r="V50" s="228">
        <f t="shared" si="23"/>
        <v>0.016785714285714286</v>
      </c>
      <c r="W50" s="228">
        <f t="shared" si="23"/>
        <v>0.023942174937058393</v>
      </c>
      <c r="X50" s="228">
        <f t="shared" si="23"/>
        <v>0.024125452352231604</v>
      </c>
      <c r="Y50" s="228">
        <f t="shared" si="23"/>
        <v>0.010890543148607665</v>
      </c>
      <c r="Z50" s="228">
        <f t="shared" si="23"/>
        <v>0.016827344434706397</v>
      </c>
      <c r="AA50" s="228">
        <f t="shared" si="23"/>
        <v>0.029152359792634485</v>
      </c>
      <c r="AB50" s="228">
        <f t="shared" si="23"/>
        <v>0.03246104674390731</v>
      </c>
      <c r="AC50" s="228">
        <f t="shared" si="23"/>
        <v>0.022504592774035517</v>
      </c>
      <c r="AD50" s="228">
        <f t="shared" si="23"/>
        <v>0.014138587927134183</v>
      </c>
      <c r="AE50" s="228">
        <f t="shared" si="23"/>
        <v>0.017088174982911826</v>
      </c>
      <c r="AF50" s="228">
        <f t="shared" si="23"/>
        <v>0.012845215157353885</v>
      </c>
      <c r="AG50" s="228">
        <f t="shared" si="23"/>
        <v>0.01369669013514607</v>
      </c>
      <c r="AH50" s="228">
        <f t="shared" si="23"/>
        <v>0.001289671333980552</v>
      </c>
      <c r="AI50" s="228">
        <f t="shared" si="23"/>
        <v>0.005968564362517176</v>
      </c>
      <c r="AJ50" s="167"/>
    </row>
    <row r="51" spans="1:36" ht="12.75" hidden="1">
      <c r="A51" s="21"/>
      <c r="B51" s="76" t="s">
        <v>242</v>
      </c>
      <c r="C51" s="228">
        <f>C22/C30</f>
        <v>0.014788412734437865</v>
      </c>
      <c r="D51" s="228">
        <f>D22/D30</f>
        <v>0.003043985591801532</v>
      </c>
      <c r="E51" s="228">
        <f>E22/E30</f>
        <v>0.003183699458771092</v>
      </c>
      <c r="F51" s="373" t="s">
        <v>19</v>
      </c>
      <c r="G51" s="373" t="s">
        <v>19</v>
      </c>
      <c r="H51" s="228">
        <f aca="true" t="shared" si="24" ref="H51:AI51">H22/H30</f>
        <v>0.024146054181389872</v>
      </c>
      <c r="I51" s="228">
        <f t="shared" si="24"/>
        <v>0.014367450731087094</v>
      </c>
      <c r="J51" s="228">
        <f t="shared" si="24"/>
        <v>0.015560526969922944</v>
      </c>
      <c r="K51" s="228">
        <f t="shared" si="24"/>
        <v>0.013071895424836602</v>
      </c>
      <c r="L51" s="228">
        <f t="shared" si="24"/>
        <v>0.012639245929734361</v>
      </c>
      <c r="M51" s="228">
        <f t="shared" si="24"/>
        <v>0.005385796630538803</v>
      </c>
      <c r="N51" s="228">
        <f t="shared" si="24"/>
        <v>0.011868940153794718</v>
      </c>
      <c r="O51" s="228">
        <f t="shared" si="24"/>
        <v>0.013583682054203274</v>
      </c>
      <c r="P51" s="228">
        <f t="shared" si="24"/>
        <v>0.009814984910116783</v>
      </c>
      <c r="Q51" s="228">
        <f t="shared" si="24"/>
        <v>0.006821098129263186</v>
      </c>
      <c r="R51" s="228">
        <f t="shared" si="24"/>
        <v>0.018688278962064972</v>
      </c>
      <c r="S51" s="228">
        <f t="shared" si="24"/>
        <v>0.013231479498346065</v>
      </c>
      <c r="T51" s="228">
        <f t="shared" si="24"/>
        <v>0.03056450375824513</v>
      </c>
      <c r="U51" s="228">
        <f t="shared" si="24"/>
        <v>0.0035727717186912374</v>
      </c>
      <c r="V51" s="228">
        <f t="shared" si="24"/>
        <v>0.0075</v>
      </c>
      <c r="W51" s="228">
        <f t="shared" si="24"/>
        <v>0.06315276536993422</v>
      </c>
      <c r="X51" s="228">
        <f t="shared" si="24"/>
        <v>0.008685162846803377</v>
      </c>
      <c r="Y51" s="228">
        <f t="shared" si="24"/>
        <v>0.016818307140887785</v>
      </c>
      <c r="Z51" s="228">
        <f t="shared" si="24"/>
        <v>0.00806310254163015</v>
      </c>
      <c r="AA51" s="228">
        <f t="shared" si="24"/>
        <v>0.02605534235507978</v>
      </c>
      <c r="AB51" s="228">
        <f t="shared" si="24"/>
        <v>0.04294846184578506</v>
      </c>
      <c r="AC51" s="228">
        <f t="shared" si="24"/>
        <v>0.1463053684425393</v>
      </c>
      <c r="AD51" s="228">
        <f t="shared" si="24"/>
        <v>0.009644005238718894</v>
      </c>
      <c r="AE51" s="228">
        <f t="shared" si="24"/>
        <v>0.003417634996582365</v>
      </c>
      <c r="AF51" s="228">
        <f t="shared" si="24"/>
        <v>0.012374223934917576</v>
      </c>
      <c r="AG51" s="228">
        <f t="shared" si="24"/>
        <v>0.025134201936823933</v>
      </c>
      <c r="AH51" s="228">
        <f t="shared" si="24"/>
        <v>0.007756615284749994</v>
      </c>
      <c r="AI51" s="228">
        <f t="shared" si="24"/>
        <v>0.011841847426476097</v>
      </c>
      <c r="AJ51" s="167"/>
    </row>
    <row r="52" spans="1:36" ht="12.75" hidden="1">
      <c r="A52" s="21"/>
      <c r="B52" s="76" t="s">
        <v>187</v>
      </c>
      <c r="C52" s="228">
        <f>C23/C30</f>
        <v>0.003247570511894691</v>
      </c>
      <c r="D52" s="228">
        <f>D23/D30</f>
        <v>0.003246917964588301</v>
      </c>
      <c r="E52" s="228">
        <f>E23/E30</f>
        <v>0.0033959460893558313</v>
      </c>
      <c r="F52" s="373" t="s">
        <v>19</v>
      </c>
      <c r="G52" s="373" t="s">
        <v>19</v>
      </c>
      <c r="H52" s="228">
        <f aca="true" t="shared" si="25" ref="H52:AI52">H23/H30</f>
        <v>0.010895170789163721</v>
      </c>
      <c r="I52" s="228">
        <f t="shared" si="25"/>
        <v>0.0026700572155117608</v>
      </c>
      <c r="J52" s="228">
        <f t="shared" si="25"/>
        <v>0.002038279890628884</v>
      </c>
      <c r="K52" s="228">
        <f t="shared" si="25"/>
        <v>0.0022467320261437907</v>
      </c>
      <c r="L52" s="228">
        <f t="shared" si="25"/>
        <v>0.0019280205655526992</v>
      </c>
      <c r="M52" s="228">
        <f t="shared" si="25"/>
        <v>0.0007455544922440078</v>
      </c>
      <c r="N52" s="228">
        <f t="shared" si="25"/>
        <v>0.0013851077040645747</v>
      </c>
      <c r="O52" s="228">
        <f t="shared" si="25"/>
        <v>0.001051639900970576</v>
      </c>
      <c r="P52" s="228">
        <f t="shared" si="25"/>
        <v>0.001784542710930324</v>
      </c>
      <c r="Q52" s="228">
        <f t="shared" si="25"/>
        <v>0.00594313500371446</v>
      </c>
      <c r="R52" s="228">
        <f t="shared" si="25"/>
        <v>0.007409929850847919</v>
      </c>
      <c r="S52" s="228">
        <f t="shared" si="25"/>
        <v>0.007472454249065943</v>
      </c>
      <c r="T52" s="228">
        <f t="shared" si="25"/>
        <v>0.008513575701794753</v>
      </c>
      <c r="U52" s="228">
        <f t="shared" si="25"/>
        <v>0.001504324934185784</v>
      </c>
      <c r="V52" s="228">
        <f t="shared" si="25"/>
        <v>0.009642857142857142</v>
      </c>
      <c r="W52" s="228">
        <f t="shared" si="25"/>
        <v>0.011223909688946642</v>
      </c>
      <c r="X52" s="228">
        <f t="shared" si="25"/>
        <v>0.004101326899879373</v>
      </c>
      <c r="Y52" s="228">
        <f t="shared" si="25"/>
        <v>0.022608216156603255</v>
      </c>
      <c r="Z52" s="228">
        <f t="shared" si="25"/>
        <v>0.02751971954425942</v>
      </c>
      <c r="AA52" s="228">
        <f t="shared" si="25"/>
        <v>0.009291052312664107</v>
      </c>
      <c r="AB52" s="228">
        <f t="shared" si="25"/>
        <v>0.008389932081502197</v>
      </c>
      <c r="AC52" s="228">
        <f t="shared" si="25"/>
        <v>0.006685037762808737</v>
      </c>
      <c r="AD52" s="228">
        <f t="shared" si="25"/>
        <v>0.00589355875699488</v>
      </c>
      <c r="AE52" s="228">
        <f t="shared" si="25"/>
        <v>0.010545845132311297</v>
      </c>
      <c r="AF52" s="228">
        <f t="shared" si="25"/>
        <v>0.0038535645472061657</v>
      </c>
      <c r="AG52" s="228">
        <f t="shared" si="25"/>
        <v>0.004552075746540422</v>
      </c>
      <c r="AH52" s="228">
        <f t="shared" si="25"/>
        <v>0.009869846140208149</v>
      </c>
      <c r="AI52" s="228">
        <f t="shared" si="25"/>
        <v>0.0060230964264719015</v>
      </c>
      <c r="AJ52" s="167"/>
    </row>
    <row r="53" spans="1:36" ht="12.75" hidden="1">
      <c r="A53" s="21"/>
      <c r="B53" s="76" t="s">
        <v>243</v>
      </c>
      <c r="C53" s="228">
        <f>C24/C30</f>
        <v>0.005688406544659253</v>
      </c>
      <c r="D53" s="228">
        <f>D24/D30</f>
        <v>0.003500583430571762</v>
      </c>
      <c r="E53" s="228">
        <f>E24/E30</f>
        <v>0.0024938979093706887</v>
      </c>
      <c r="F53" s="228">
        <f>F24/F30</f>
        <v>0.07096774193548387</v>
      </c>
      <c r="G53" s="373" t="s">
        <v>19</v>
      </c>
      <c r="H53" s="228">
        <f aca="true" t="shared" si="26" ref="H53:AI53">H24/H30</f>
        <v>0.009128386336866903</v>
      </c>
      <c r="I53" s="228">
        <f t="shared" si="26"/>
        <v>0.002161474888747616</v>
      </c>
      <c r="J53" s="228">
        <f t="shared" si="26"/>
        <v>0.0016902808849117573</v>
      </c>
      <c r="K53" s="228">
        <f t="shared" si="26"/>
        <v>0.001838235294117647</v>
      </c>
      <c r="L53" s="228">
        <f t="shared" si="26"/>
        <v>0.0014995715509854327</v>
      </c>
      <c r="M53" s="228">
        <f t="shared" si="26"/>
        <v>0.00028931965370662986</v>
      </c>
      <c r="N53" s="228">
        <f t="shared" si="26"/>
        <v>0.0004895639298848928</v>
      </c>
      <c r="O53" s="228">
        <f t="shared" si="26"/>
        <v>0.000525819950485288</v>
      </c>
      <c r="P53" s="228">
        <f t="shared" si="26"/>
        <v>0.000446135677732581</v>
      </c>
      <c r="Q53" s="228">
        <f t="shared" si="26"/>
        <v>0.0024988181265617614</v>
      </c>
      <c r="R53" s="228">
        <f t="shared" si="26"/>
        <v>0.0035551317850575494</v>
      </c>
      <c r="S53" s="228">
        <f t="shared" si="26"/>
        <v>0.003450655624568668</v>
      </c>
      <c r="T53" s="228">
        <f t="shared" si="26"/>
        <v>0.004333486731093726</v>
      </c>
      <c r="U53" s="228">
        <f t="shared" si="26"/>
        <v>0.0005641218503196691</v>
      </c>
      <c r="V53" s="228">
        <f t="shared" si="26"/>
        <v>0.0014285714285714286</v>
      </c>
      <c r="W53" s="228">
        <f t="shared" si="26"/>
        <v>0.0017867294729148055</v>
      </c>
      <c r="X53" s="228">
        <f t="shared" si="26"/>
        <v>0.0007237635705669482</v>
      </c>
      <c r="Y53" s="228">
        <f t="shared" si="26"/>
        <v>0.0015164047422111938</v>
      </c>
      <c r="Z53" s="228">
        <f t="shared" si="26"/>
        <v>0.0036809815950920245</v>
      </c>
      <c r="AA53" s="228">
        <f t="shared" si="26"/>
        <v>0.00222177337911533</v>
      </c>
      <c r="AB53" s="228">
        <f t="shared" si="26"/>
        <v>0.0011985617259288853</v>
      </c>
      <c r="AC53" s="228">
        <f t="shared" si="26"/>
        <v>0.0015309246785058174</v>
      </c>
      <c r="AD53" s="228">
        <f t="shared" si="26"/>
        <v>0.10522085962614597</v>
      </c>
      <c r="AE53" s="228">
        <f t="shared" si="26"/>
        <v>0.0005858802851284055</v>
      </c>
      <c r="AF53" s="228">
        <f t="shared" si="26"/>
        <v>0.15110254763433953</v>
      </c>
      <c r="AG53" s="228">
        <f t="shared" si="26"/>
        <v>0.00463300153759003</v>
      </c>
      <c r="AH53" s="228">
        <f t="shared" si="26"/>
        <v>0.022793725505895743</v>
      </c>
      <c r="AI53" s="228">
        <f t="shared" si="26"/>
        <v>0.012858181277764162</v>
      </c>
      <c r="AJ53" s="167"/>
    </row>
    <row r="54" spans="1:36" ht="12.75" hidden="1">
      <c r="A54" s="21"/>
      <c r="B54" s="76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67"/>
    </row>
    <row r="55" spans="1:36" ht="12.75" hidden="1">
      <c r="A55" s="21"/>
      <c r="B55" s="229" t="s">
        <v>189</v>
      </c>
      <c r="C55" s="374">
        <f>C26/C30</f>
        <v>0.14780262859265067</v>
      </c>
      <c r="D55" s="374">
        <f aca="true" t="shared" si="27" ref="D55:AI55">D26/D30</f>
        <v>0.06463396073258587</v>
      </c>
      <c r="E55" s="374">
        <f t="shared" si="27"/>
        <v>0.0648413456436379</v>
      </c>
      <c r="F55" s="374">
        <f t="shared" si="27"/>
        <v>0.07096774193548387</v>
      </c>
      <c r="G55" s="374">
        <f t="shared" si="27"/>
        <v>0.05405405405405406</v>
      </c>
      <c r="H55" s="374">
        <f t="shared" si="27"/>
        <v>0.24705535924617197</v>
      </c>
      <c r="I55" s="374">
        <f t="shared" si="27"/>
        <v>0.1491417673235855</v>
      </c>
      <c r="J55" s="374">
        <f t="shared" si="27"/>
        <v>0.10027342779020632</v>
      </c>
      <c r="K55" s="374">
        <f t="shared" si="27"/>
        <v>0.08619281045751634</v>
      </c>
      <c r="L55" s="374">
        <f t="shared" si="27"/>
        <v>0.09168808911739502</v>
      </c>
      <c r="M55" s="374">
        <f t="shared" si="27"/>
        <v>0.0839917210068324</v>
      </c>
      <c r="N55" s="374">
        <f t="shared" si="27"/>
        <v>0.08807374504465779</v>
      </c>
      <c r="O55" s="374">
        <f t="shared" si="27"/>
        <v>0.10474771596959008</v>
      </c>
      <c r="P55" s="374">
        <f t="shared" si="27"/>
        <v>0.06810129904212045</v>
      </c>
      <c r="Q55" s="374">
        <f t="shared" si="27"/>
        <v>0.1327750388329844</v>
      </c>
      <c r="R55" s="374">
        <f t="shared" si="27"/>
        <v>0.3140230198188381</v>
      </c>
      <c r="S55" s="374">
        <f t="shared" si="27"/>
        <v>0.22619642559672545</v>
      </c>
      <c r="T55" s="374">
        <f t="shared" si="27"/>
        <v>0.47971314618806565</v>
      </c>
      <c r="U55" s="374">
        <f t="shared" si="27"/>
        <v>0.19556224144415194</v>
      </c>
      <c r="V55" s="374">
        <f t="shared" si="27"/>
        <v>0.18785714285714286</v>
      </c>
      <c r="W55" s="374">
        <f t="shared" si="27"/>
        <v>0.2589783156013969</v>
      </c>
      <c r="X55" s="374">
        <f t="shared" si="27"/>
        <v>0.24945717732207479</v>
      </c>
      <c r="Y55" s="374">
        <f t="shared" si="27"/>
        <v>0.2597187758478081</v>
      </c>
      <c r="Z55" s="374">
        <f t="shared" si="27"/>
        <v>0.16476774758983348</v>
      </c>
      <c r="AA55" s="374">
        <f t="shared" si="27"/>
        <v>0.23705648690500236</v>
      </c>
      <c r="AB55" s="374">
        <f t="shared" si="27"/>
        <v>0.27267279264882144</v>
      </c>
      <c r="AC55" s="374">
        <f t="shared" si="27"/>
        <v>0.2977648499693815</v>
      </c>
      <c r="AD55" s="374">
        <f t="shared" si="27"/>
        <v>0.1881473984998214</v>
      </c>
      <c r="AE55" s="374">
        <f t="shared" si="27"/>
        <v>0.05907626208378088</v>
      </c>
      <c r="AF55" s="374">
        <f t="shared" si="27"/>
        <v>0.24474416613144936</v>
      </c>
      <c r="AG55" s="374">
        <f t="shared" si="27"/>
        <v>0.2756602195786464</v>
      </c>
      <c r="AH55" s="374">
        <f t="shared" si="27"/>
        <v>0.19925279130915938</v>
      </c>
      <c r="AI55" s="374">
        <f t="shared" si="27"/>
        <v>0.16936700258817566</v>
      </c>
      <c r="AJ55" s="167"/>
    </row>
    <row r="56" spans="1:36" ht="12.75" hidden="1">
      <c r="A56" s="21"/>
      <c r="B56" s="94" t="s">
        <v>161</v>
      </c>
      <c r="C56" s="374">
        <f>C27/C48</f>
        <v>27627016.423780836</v>
      </c>
      <c r="D56" s="374">
        <f aca="true" t="shared" si="28" ref="D56:AI56">D27/D48</f>
        <v>2645341.349206349</v>
      </c>
      <c r="E56" s="374">
        <f t="shared" si="28"/>
        <v>2448185.1428571427</v>
      </c>
      <c r="F56" s="374" t="e">
        <f t="shared" si="28"/>
        <v>#VALUE!</v>
      </c>
      <c r="G56" s="374" t="e">
        <f t="shared" si="28"/>
        <v>#VALUE!</v>
      </c>
      <c r="H56" s="374">
        <f t="shared" si="28"/>
        <v>31514.879999999997</v>
      </c>
      <c r="I56" s="374">
        <f t="shared" si="28"/>
        <v>93715.35211267605</v>
      </c>
      <c r="J56" s="374">
        <f t="shared" si="28"/>
        <v>392360.13157894736</v>
      </c>
      <c r="K56" s="374">
        <f t="shared" si="28"/>
        <v>120960</v>
      </c>
      <c r="L56" s="374">
        <f t="shared" si="28"/>
        <v>46743.94520547945</v>
      </c>
      <c r="M56" s="374">
        <f t="shared" si="28"/>
        <v>5962359.472222222</v>
      </c>
      <c r="N56" s="374">
        <f t="shared" si="28"/>
        <v>9423419.323943662</v>
      </c>
      <c r="O56" s="374">
        <f t="shared" si="28"/>
        <v>5927561.679245284</v>
      </c>
      <c r="P56" s="374">
        <f t="shared" si="28"/>
        <v>3632795.3738317755</v>
      </c>
      <c r="Q56" s="374">
        <f t="shared" si="28"/>
        <v>675569.375</v>
      </c>
      <c r="R56" s="374">
        <f t="shared" si="28"/>
        <v>1356739.2163543443</v>
      </c>
      <c r="S56" s="374">
        <f t="shared" si="28"/>
        <v>831612.1048034935</v>
      </c>
      <c r="T56" s="374">
        <f t="shared" si="28"/>
        <v>435314.07365439093</v>
      </c>
      <c r="U56" s="374">
        <f t="shared" si="28"/>
        <v>449902.80000000005</v>
      </c>
      <c r="V56" s="374">
        <f t="shared" si="28"/>
        <v>31325</v>
      </c>
      <c r="W56" s="374">
        <f t="shared" si="28"/>
        <v>300205.5693069307</v>
      </c>
      <c r="X56" s="374">
        <f t="shared" si="28"/>
        <v>13586.388888888889</v>
      </c>
      <c r="Y56" s="374">
        <f t="shared" si="28"/>
        <v>103101.93442622952</v>
      </c>
      <c r="Z56" s="374">
        <f t="shared" si="28"/>
        <v>59442.41935483871</v>
      </c>
      <c r="AA56" s="374">
        <f t="shared" si="28"/>
        <v>36336.803571428565</v>
      </c>
      <c r="AB56" s="374">
        <f t="shared" si="28"/>
        <v>64368.816666666666</v>
      </c>
      <c r="AC56" s="374">
        <f t="shared" si="28"/>
        <v>110381.85205479452</v>
      </c>
      <c r="AD56" s="374">
        <f t="shared" si="28"/>
        <v>846713.1748251747</v>
      </c>
      <c r="AE56" s="374">
        <f t="shared" si="28"/>
        <v>1029220.5</v>
      </c>
      <c r="AF56" s="374">
        <f t="shared" si="28"/>
        <v>456388.3082706767</v>
      </c>
      <c r="AG56" s="374">
        <f t="shared" si="28"/>
        <v>1982046.4426708196</v>
      </c>
      <c r="AH56" s="374">
        <f t="shared" si="28"/>
        <v>49711886.855233125</v>
      </c>
      <c r="AI56" s="374">
        <f t="shared" si="28"/>
        <v>76749213.41705176</v>
      </c>
      <c r="AJ56" s="167"/>
    </row>
    <row r="57" spans="1:37" ht="12.75" hidden="1">
      <c r="A57" s="21"/>
      <c r="B57" s="94" t="s">
        <v>244</v>
      </c>
      <c r="C57" s="374">
        <f>C28/C49</f>
        <v>48051481.45697031</v>
      </c>
      <c r="D57" s="374">
        <f aca="true" t="shared" si="29" ref="D57:AI57">D28/D49</f>
        <v>12784554.6</v>
      </c>
      <c r="E57" s="374">
        <f t="shared" si="29"/>
        <v>11817698.399999999</v>
      </c>
      <c r="F57" s="374" t="e">
        <f t="shared" si="29"/>
        <v>#VALUE!</v>
      </c>
      <c r="G57" s="374" t="e">
        <f t="shared" si="29"/>
        <v>#VALUE!</v>
      </c>
      <c r="H57" s="374">
        <f t="shared" si="29"/>
        <v>153864.92307692306</v>
      </c>
      <c r="I57" s="374">
        <f t="shared" si="29"/>
        <v>1024237.5</v>
      </c>
      <c r="J57" s="374">
        <f t="shared" si="29"/>
        <v>3971798.1818181816</v>
      </c>
      <c r="K57" s="374">
        <f t="shared" si="29"/>
        <v>857616</v>
      </c>
      <c r="L57" s="374">
        <f t="shared" si="29"/>
        <v>601134.6666666666</v>
      </c>
      <c r="M57" s="374">
        <f t="shared" si="29"/>
        <v>8618439.290322581</v>
      </c>
      <c r="N57" s="374">
        <f t="shared" si="29"/>
        <v>2392810.906107566</v>
      </c>
      <c r="O57" s="374">
        <f t="shared" si="29"/>
        <v>1447078.1555555556</v>
      </c>
      <c r="P57" s="374">
        <f t="shared" si="29"/>
        <v>952327.3046875</v>
      </c>
      <c r="Q57" s="374">
        <f t="shared" si="29"/>
        <v>379863.5308641975</v>
      </c>
      <c r="R57" s="374">
        <f t="shared" si="29"/>
        <v>1547832.9166666667</v>
      </c>
      <c r="S57" s="374">
        <f t="shared" si="29"/>
        <v>848703.2762589927</v>
      </c>
      <c r="T57" s="374">
        <f t="shared" si="29"/>
        <v>538552.808080808</v>
      </c>
      <c r="U57" s="374">
        <f t="shared" si="29"/>
        <v>353647</v>
      </c>
      <c r="V57" s="374">
        <f t="shared" si="29"/>
        <v>16392.05298013245</v>
      </c>
      <c r="W57" s="374">
        <f t="shared" si="29"/>
        <v>1051670.1832460733</v>
      </c>
      <c r="X57" s="374">
        <f t="shared" si="29"/>
        <v>59978.15</v>
      </c>
      <c r="Y57" s="374">
        <f t="shared" si="29"/>
        <v>212295.2553191489</v>
      </c>
      <c r="Z57" s="374">
        <f t="shared" si="29"/>
        <v>201069.55555555556</v>
      </c>
      <c r="AA57" s="374">
        <f t="shared" si="29"/>
        <v>203490.2605042017</v>
      </c>
      <c r="AB57" s="374">
        <f t="shared" si="29"/>
        <v>108033.52525252526</v>
      </c>
      <c r="AC57" s="374">
        <f t="shared" si="29"/>
        <v>448208.8</v>
      </c>
      <c r="AD57" s="374">
        <f t="shared" si="29"/>
        <v>728035.5895196507</v>
      </c>
      <c r="AE57" s="374">
        <f t="shared" si="29"/>
        <v>659520.4</v>
      </c>
      <c r="AF57" s="374">
        <f t="shared" si="29"/>
        <v>448491.5127020785</v>
      </c>
      <c r="AG57" s="374">
        <f t="shared" si="29"/>
        <v>9659595.878787879</v>
      </c>
      <c r="AH57" s="374">
        <f t="shared" si="29"/>
        <v>1075936142.3636365</v>
      </c>
      <c r="AI57" s="374">
        <f t="shared" si="29"/>
        <v>194373869.21653447</v>
      </c>
      <c r="AJ57" s="177"/>
      <c r="AK57" s="175"/>
    </row>
    <row r="58" spans="1:37" ht="14.25" hidden="1">
      <c r="A58" s="21"/>
      <c r="B58" s="94" t="s">
        <v>250</v>
      </c>
      <c r="C58" s="374">
        <f>C29/C30</f>
        <v>0.8521973714073493</v>
      </c>
      <c r="D58" s="374">
        <f aca="true" t="shared" si="30" ref="D58:AI58">D29/D30</f>
        <v>0.9353660392674141</v>
      </c>
      <c r="E58" s="374">
        <f t="shared" si="30"/>
        <v>0.9351586543563621</v>
      </c>
      <c r="F58" s="374">
        <f t="shared" si="30"/>
        <v>0.9290322580645162</v>
      </c>
      <c r="G58" s="374">
        <f t="shared" si="30"/>
        <v>0.9459459459459459</v>
      </c>
      <c r="H58" s="374">
        <f t="shared" si="30"/>
        <v>0.752944640753828</v>
      </c>
      <c r="I58" s="374">
        <f t="shared" si="30"/>
        <v>0.8508582326764145</v>
      </c>
      <c r="J58" s="374">
        <f t="shared" si="30"/>
        <v>0.8997265722097937</v>
      </c>
      <c r="K58" s="374">
        <f t="shared" si="30"/>
        <v>0.9138071895424836</v>
      </c>
      <c r="L58" s="374">
        <f t="shared" si="30"/>
        <v>0.908311910882605</v>
      </c>
      <c r="M58" s="374">
        <f t="shared" si="30"/>
        <v>0.9160082789931676</v>
      </c>
      <c r="N58" s="374">
        <f t="shared" si="30"/>
        <v>0.9119262549553422</v>
      </c>
      <c r="O58" s="374">
        <f t="shared" si="30"/>
        <v>0.8952522840304099</v>
      </c>
      <c r="P58" s="374">
        <f t="shared" si="30"/>
        <v>0.9318987009578795</v>
      </c>
      <c r="Q58" s="374">
        <f t="shared" si="30"/>
        <v>0.8672249611670156</v>
      </c>
      <c r="R58" s="374">
        <f t="shared" si="30"/>
        <v>0.6859769801811619</v>
      </c>
      <c r="S58" s="374">
        <f t="shared" si="30"/>
        <v>0.7738035744032745</v>
      </c>
      <c r="T58" s="374">
        <f t="shared" si="30"/>
        <v>0.5202868538119343</v>
      </c>
      <c r="U58" s="374">
        <f t="shared" si="30"/>
        <v>0.8044377585558481</v>
      </c>
      <c r="V58" s="374">
        <f t="shared" si="30"/>
        <v>0.8121428571428572</v>
      </c>
      <c r="W58" s="374">
        <f t="shared" si="30"/>
        <v>0.741021684398603</v>
      </c>
      <c r="X58" s="374">
        <f t="shared" si="30"/>
        <v>0.7505428226779252</v>
      </c>
      <c r="Y58" s="374">
        <f t="shared" si="30"/>
        <v>0.7402812241521919</v>
      </c>
      <c r="Z58" s="374">
        <f t="shared" si="30"/>
        <v>0.8352322524101665</v>
      </c>
      <c r="AA58" s="374">
        <f t="shared" si="30"/>
        <v>0.7629435130949976</v>
      </c>
      <c r="AB58" s="374">
        <f t="shared" si="30"/>
        <v>0.7273272073511786</v>
      </c>
      <c r="AC58" s="374">
        <f t="shared" si="30"/>
        <v>0.7022351500306185</v>
      </c>
      <c r="AD58" s="374">
        <f t="shared" si="30"/>
        <v>0.8118526015001786</v>
      </c>
      <c r="AE58" s="374">
        <f t="shared" si="30"/>
        <v>0.9409237379162191</v>
      </c>
      <c r="AF58" s="374">
        <f t="shared" si="30"/>
        <v>0.7552558338685507</v>
      </c>
      <c r="AG58" s="374">
        <f t="shared" si="30"/>
        <v>0.7243397804213536</v>
      </c>
      <c r="AH58" s="374">
        <f t="shared" si="30"/>
        <v>0.8007472086908406</v>
      </c>
      <c r="AI58" s="374">
        <f t="shared" si="30"/>
        <v>0.8306329974118244</v>
      </c>
      <c r="AJ58" s="177"/>
      <c r="AK58" s="175"/>
    </row>
    <row r="59" spans="1:37" ht="15" hidden="1">
      <c r="A59" s="21"/>
      <c r="B59" s="155" t="s">
        <v>248</v>
      </c>
      <c r="C59" s="176">
        <f>C30/C30</f>
        <v>1</v>
      </c>
      <c r="D59" s="176">
        <f aca="true" t="shared" si="31" ref="D59:AI59">D30/D30</f>
        <v>1</v>
      </c>
      <c r="E59" s="176">
        <f t="shared" si="31"/>
        <v>1</v>
      </c>
      <c r="F59" s="176">
        <f t="shared" si="31"/>
        <v>1</v>
      </c>
      <c r="G59" s="176">
        <f t="shared" si="31"/>
        <v>1</v>
      </c>
      <c r="H59" s="176">
        <f t="shared" si="31"/>
        <v>1</v>
      </c>
      <c r="I59" s="176">
        <f t="shared" si="31"/>
        <v>1</v>
      </c>
      <c r="J59" s="176">
        <f t="shared" si="31"/>
        <v>1</v>
      </c>
      <c r="K59" s="176">
        <f t="shared" si="31"/>
        <v>1</v>
      </c>
      <c r="L59" s="176">
        <f t="shared" si="31"/>
        <v>1</v>
      </c>
      <c r="M59" s="176">
        <f t="shared" si="31"/>
        <v>1</v>
      </c>
      <c r="N59" s="176">
        <f t="shared" si="31"/>
        <v>1</v>
      </c>
      <c r="O59" s="176">
        <f t="shared" si="31"/>
        <v>1</v>
      </c>
      <c r="P59" s="176">
        <f t="shared" si="31"/>
        <v>1</v>
      </c>
      <c r="Q59" s="176">
        <f t="shared" si="31"/>
        <v>1</v>
      </c>
      <c r="R59" s="176">
        <f t="shared" si="31"/>
        <v>1</v>
      </c>
      <c r="S59" s="176">
        <f t="shared" si="31"/>
        <v>1</v>
      </c>
      <c r="T59" s="176">
        <f t="shared" si="31"/>
        <v>1</v>
      </c>
      <c r="U59" s="176">
        <f t="shared" si="31"/>
        <v>1</v>
      </c>
      <c r="V59" s="176">
        <f t="shared" si="31"/>
        <v>1</v>
      </c>
      <c r="W59" s="176">
        <f t="shared" si="31"/>
        <v>1</v>
      </c>
      <c r="X59" s="176">
        <f t="shared" si="31"/>
        <v>1</v>
      </c>
      <c r="Y59" s="176">
        <f t="shared" si="31"/>
        <v>1</v>
      </c>
      <c r="Z59" s="176">
        <f t="shared" si="31"/>
        <v>1</v>
      </c>
      <c r="AA59" s="176">
        <f t="shared" si="31"/>
        <v>1</v>
      </c>
      <c r="AB59" s="176">
        <f t="shared" si="31"/>
        <v>1</v>
      </c>
      <c r="AC59" s="176">
        <f t="shared" si="31"/>
        <v>1</v>
      </c>
      <c r="AD59" s="176">
        <f t="shared" si="31"/>
        <v>1</v>
      </c>
      <c r="AE59" s="176">
        <f t="shared" si="31"/>
        <v>1</v>
      </c>
      <c r="AF59" s="176">
        <f t="shared" si="31"/>
        <v>1</v>
      </c>
      <c r="AG59" s="176">
        <f t="shared" si="31"/>
        <v>1</v>
      </c>
      <c r="AH59" s="176">
        <f t="shared" si="31"/>
        <v>1</v>
      </c>
      <c r="AI59" s="176">
        <f t="shared" si="31"/>
        <v>1</v>
      </c>
      <c r="AJ59" s="177"/>
      <c r="AK59" s="175"/>
    </row>
    <row r="60" spans="1:38" ht="15" hidden="1">
      <c r="A60" s="21"/>
      <c r="B60" s="38" t="s">
        <v>249</v>
      </c>
      <c r="C60" s="167"/>
      <c r="D60" s="176"/>
      <c r="E60" s="49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77"/>
      <c r="AI60" s="177"/>
      <c r="AJ60" s="167"/>
      <c r="AL60" s="178"/>
    </row>
    <row r="61" spans="1:38" ht="15" hidden="1">
      <c r="A61" s="21"/>
      <c r="B61" s="71" t="s">
        <v>251</v>
      </c>
      <c r="C61" s="167"/>
      <c r="D61" s="176"/>
      <c r="E61" s="49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77"/>
      <c r="AI61" s="177"/>
      <c r="AJ61" s="167"/>
      <c r="AL61" s="178"/>
    </row>
    <row r="62" spans="1:38" ht="15" hidden="1">
      <c r="A62" s="21"/>
      <c r="B62" s="38" t="s">
        <v>63</v>
      </c>
      <c r="C62" s="167"/>
      <c r="D62" s="176"/>
      <c r="E62" s="49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77"/>
      <c r="AI62" s="177"/>
      <c r="AJ62" s="167"/>
      <c r="AL62" s="178"/>
    </row>
    <row r="63" spans="1:38" ht="15" hidden="1">
      <c r="A63" s="21"/>
      <c r="B63" s="38"/>
      <c r="C63" s="167"/>
      <c r="D63" s="176"/>
      <c r="E63" s="49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77"/>
      <c r="AI63" s="177"/>
      <c r="AJ63" s="167"/>
      <c r="AL63" s="178"/>
    </row>
    <row r="64" spans="1:38" ht="15" hidden="1">
      <c r="A64" s="21"/>
      <c r="B64" s="38"/>
      <c r="C64" s="167"/>
      <c r="D64" s="176"/>
      <c r="E64" s="49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77"/>
      <c r="AI64" s="177"/>
      <c r="AJ64" s="167"/>
      <c r="AL64" s="178"/>
    </row>
    <row r="65" spans="1:36" ht="15.75" customHeight="1">
      <c r="A65" s="21"/>
      <c r="B65" s="61"/>
      <c r="C65" s="685" t="s">
        <v>353</v>
      </c>
      <c r="D65" s="385" t="s">
        <v>500</v>
      </c>
      <c r="E65" s="386" t="s">
        <v>198</v>
      </c>
      <c r="F65" s="387"/>
      <c r="G65" s="387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164"/>
      <c r="AF65" s="164"/>
      <c r="AG65" s="164"/>
      <c r="AH65" s="685" t="s">
        <v>165</v>
      </c>
      <c r="AI65" s="370" t="s">
        <v>165</v>
      </c>
      <c r="AJ65" s="167"/>
    </row>
    <row r="66" spans="1:36" ht="15">
      <c r="A66" s="21"/>
      <c r="B66" s="682" t="s">
        <v>102</v>
      </c>
      <c r="C66" s="686" t="s">
        <v>354</v>
      </c>
      <c r="D66" s="85" t="s">
        <v>199</v>
      </c>
      <c r="E66" s="168" t="s">
        <v>200</v>
      </c>
      <c r="F66" s="168" t="s">
        <v>201</v>
      </c>
      <c r="G66" s="168" t="s">
        <v>202</v>
      </c>
      <c r="H66" s="168" t="s">
        <v>203</v>
      </c>
      <c r="I66" s="168" t="s">
        <v>204</v>
      </c>
      <c r="J66" s="168" t="s">
        <v>205</v>
      </c>
      <c r="K66" s="168" t="s">
        <v>206</v>
      </c>
      <c r="L66" s="168" t="s">
        <v>207</v>
      </c>
      <c r="M66" s="168" t="s">
        <v>208</v>
      </c>
      <c r="N66" s="168" t="s">
        <v>169</v>
      </c>
      <c r="O66" s="168" t="s">
        <v>131</v>
      </c>
      <c r="P66" s="168" t="s">
        <v>97</v>
      </c>
      <c r="Q66" s="168" t="s">
        <v>358</v>
      </c>
      <c r="R66" s="168" t="s">
        <v>209</v>
      </c>
      <c r="S66" s="168" t="s">
        <v>209</v>
      </c>
      <c r="T66" s="168" t="s">
        <v>76</v>
      </c>
      <c r="U66" s="168" t="s">
        <v>210</v>
      </c>
      <c r="V66" s="168" t="s">
        <v>134</v>
      </c>
      <c r="W66" s="168" t="s">
        <v>211</v>
      </c>
      <c r="X66" s="168" t="s">
        <v>212</v>
      </c>
      <c r="Y66" s="168" t="s">
        <v>213</v>
      </c>
      <c r="Z66" s="168" t="s">
        <v>214</v>
      </c>
      <c r="AA66" s="168" t="s">
        <v>192</v>
      </c>
      <c r="AB66" s="168" t="s">
        <v>215</v>
      </c>
      <c r="AC66" s="168" t="s">
        <v>192</v>
      </c>
      <c r="AD66" s="168" t="s">
        <v>216</v>
      </c>
      <c r="AE66" s="168" t="s">
        <v>217</v>
      </c>
      <c r="AF66" s="168" t="s">
        <v>218</v>
      </c>
      <c r="AG66" s="168" t="s">
        <v>139</v>
      </c>
      <c r="AH66" s="686" t="s">
        <v>171</v>
      </c>
      <c r="AI66" s="370"/>
      <c r="AJ66" s="167"/>
    </row>
    <row r="67" spans="1:36" ht="15">
      <c r="A67" s="21"/>
      <c r="B67" s="682"/>
      <c r="C67" s="686" t="s">
        <v>352</v>
      </c>
      <c r="D67" s="85" t="s">
        <v>219</v>
      </c>
      <c r="E67" s="168"/>
      <c r="F67" s="168"/>
      <c r="G67" s="168"/>
      <c r="H67" s="168"/>
      <c r="I67" s="168" t="s">
        <v>220</v>
      </c>
      <c r="J67" s="168" t="s">
        <v>221</v>
      </c>
      <c r="K67" s="168"/>
      <c r="L67" s="168"/>
      <c r="M67" s="168"/>
      <c r="N67" s="168" t="s">
        <v>144</v>
      </c>
      <c r="O67" s="168"/>
      <c r="P67" s="168"/>
      <c r="Q67" s="168" t="s">
        <v>357</v>
      </c>
      <c r="R67" s="168" t="s">
        <v>144</v>
      </c>
      <c r="S67" s="168"/>
      <c r="T67" s="168"/>
      <c r="U67" s="168" t="s">
        <v>133</v>
      </c>
      <c r="V67" s="168"/>
      <c r="W67" s="168" t="s">
        <v>222</v>
      </c>
      <c r="X67" s="168" t="s">
        <v>223</v>
      </c>
      <c r="Y67" s="168"/>
      <c r="Z67" s="168"/>
      <c r="AA67" s="168" t="s">
        <v>224</v>
      </c>
      <c r="AB67" s="168" t="s">
        <v>80</v>
      </c>
      <c r="AC67" s="168" t="s">
        <v>145</v>
      </c>
      <c r="AD67" s="168" t="s">
        <v>225</v>
      </c>
      <c r="AE67" s="168"/>
      <c r="AF67" s="168" t="s">
        <v>80</v>
      </c>
      <c r="AG67" s="168"/>
      <c r="AH67" s="686" t="s">
        <v>227</v>
      </c>
      <c r="AI67" s="370"/>
      <c r="AJ67" s="167"/>
    </row>
    <row r="68" spans="1:36" ht="12.75">
      <c r="A68" s="21"/>
      <c r="B68" s="56"/>
      <c r="C68" s="686"/>
      <c r="D68" s="85" t="s">
        <v>202</v>
      </c>
      <c r="E68" s="168"/>
      <c r="F68" s="168"/>
      <c r="G68" s="168"/>
      <c r="H68" s="168"/>
      <c r="I68" s="168"/>
      <c r="J68" s="168"/>
      <c r="K68" s="168"/>
      <c r="L68" s="168"/>
      <c r="M68" s="168"/>
      <c r="N68" s="168" t="s">
        <v>97</v>
      </c>
      <c r="O68" s="168"/>
      <c r="P68" s="168"/>
      <c r="Q68" s="168"/>
      <c r="R68" s="168" t="s">
        <v>76</v>
      </c>
      <c r="S68" s="168"/>
      <c r="T68" s="168"/>
      <c r="U68" s="168"/>
      <c r="V68" s="168"/>
      <c r="W68" s="168" t="s">
        <v>80</v>
      </c>
      <c r="X68" s="168"/>
      <c r="Y68" s="168"/>
      <c r="Z68" s="168"/>
      <c r="AA68" s="168"/>
      <c r="AB68" s="168"/>
      <c r="AC68" s="168"/>
      <c r="AD68" s="168" t="s">
        <v>80</v>
      </c>
      <c r="AE68" s="168"/>
      <c r="AF68" s="168"/>
      <c r="AG68" s="168"/>
      <c r="AH68" s="686" t="s">
        <v>228</v>
      </c>
      <c r="AI68" s="370"/>
      <c r="AJ68" s="167"/>
    </row>
    <row r="69" spans="1:36" ht="12.75">
      <c r="A69" s="21"/>
      <c r="B69" s="683"/>
      <c r="C69" s="687" t="s">
        <v>44</v>
      </c>
      <c r="D69" s="399" t="s">
        <v>44</v>
      </c>
      <c r="E69" s="399" t="s">
        <v>44</v>
      </c>
      <c r="F69" s="399" t="s">
        <v>44</v>
      </c>
      <c r="G69" s="399" t="s">
        <v>44</v>
      </c>
      <c r="H69" s="399" t="s">
        <v>44</v>
      </c>
      <c r="I69" s="399" t="s">
        <v>44</v>
      </c>
      <c r="J69" s="399" t="s">
        <v>44</v>
      </c>
      <c r="K69" s="399" t="s">
        <v>44</v>
      </c>
      <c r="L69" s="399" t="s">
        <v>44</v>
      </c>
      <c r="M69" s="399" t="s">
        <v>44</v>
      </c>
      <c r="N69" s="399" t="s">
        <v>44</v>
      </c>
      <c r="O69" s="399" t="s">
        <v>44</v>
      </c>
      <c r="P69" s="399" t="s">
        <v>44</v>
      </c>
      <c r="Q69" s="399" t="s">
        <v>44</v>
      </c>
      <c r="R69" s="399" t="s">
        <v>44</v>
      </c>
      <c r="S69" s="399" t="s">
        <v>44</v>
      </c>
      <c r="T69" s="399" t="s">
        <v>44</v>
      </c>
      <c r="U69" s="399" t="s">
        <v>44</v>
      </c>
      <c r="V69" s="399" t="s">
        <v>44</v>
      </c>
      <c r="W69" s="399" t="s">
        <v>44</v>
      </c>
      <c r="X69" s="399" t="s">
        <v>44</v>
      </c>
      <c r="Y69" s="399" t="s">
        <v>44</v>
      </c>
      <c r="Z69" s="399" t="s">
        <v>44</v>
      </c>
      <c r="AA69" s="399" t="s">
        <v>44</v>
      </c>
      <c r="AB69" s="399" t="s">
        <v>44</v>
      </c>
      <c r="AC69" s="399" t="s">
        <v>44</v>
      </c>
      <c r="AD69" s="399" t="s">
        <v>44</v>
      </c>
      <c r="AE69" s="399" t="s">
        <v>44</v>
      </c>
      <c r="AF69" s="399" t="s">
        <v>44</v>
      </c>
      <c r="AG69" s="399" t="s">
        <v>44</v>
      </c>
      <c r="AH69" s="687" t="s">
        <v>44</v>
      </c>
      <c r="AI69" s="370"/>
      <c r="AJ69" s="167"/>
    </row>
    <row r="70" spans="1:36" ht="18" customHeight="1">
      <c r="A70" s="21"/>
      <c r="B70" s="667" t="s">
        <v>399</v>
      </c>
      <c r="C70" s="688"/>
      <c r="D70" s="228"/>
      <c r="E70" s="168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695"/>
      <c r="AI70" s="167"/>
      <c r="AJ70" s="167"/>
    </row>
    <row r="71" spans="1:36" ht="12.75">
      <c r="A71" s="21"/>
      <c r="B71" s="667" t="s">
        <v>400</v>
      </c>
      <c r="C71" s="689"/>
      <c r="D71" s="107"/>
      <c r="E71" s="106"/>
      <c r="F71" s="375"/>
      <c r="G71" s="375"/>
      <c r="H71" s="107"/>
      <c r="I71" s="375"/>
      <c r="J71" s="107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6"/>
      <c r="AG71" s="375"/>
      <c r="AH71" s="696"/>
      <c r="AI71" s="167"/>
      <c r="AJ71" s="167"/>
    </row>
    <row r="72" spans="1:68" ht="18.75" customHeight="1">
      <c r="A72" s="21"/>
      <c r="B72" s="684" t="s">
        <v>229</v>
      </c>
      <c r="C72" s="690">
        <f>AK72*100</f>
        <v>2.08709291789448</v>
      </c>
      <c r="D72" s="380">
        <f aca="true" t="shared" si="32" ref="D72:D91">AL72*100</f>
        <v>0.5447630794531813</v>
      </c>
      <c r="E72" s="380">
        <f aca="true" t="shared" si="33" ref="E72:E91">AM72*100</f>
        <v>0</v>
      </c>
      <c r="F72" s="380">
        <f aca="true" t="shared" si="34" ref="F72:F91">AN72*100</f>
        <v>0</v>
      </c>
      <c r="G72" s="339">
        <f aca="true" t="shared" si="35" ref="G72:G91">AO72*100</f>
        <v>0</v>
      </c>
      <c r="H72" s="380">
        <f aca="true" t="shared" si="36" ref="H72:H91">AP72*100</f>
        <v>4.86700622524052</v>
      </c>
      <c r="I72" s="380">
        <f aca="true" t="shared" si="37" ref="I72:I91">AQ72*100</f>
        <v>1.8499127399650959</v>
      </c>
      <c r="J72" s="380">
        <f aca="true" t="shared" si="38" ref="J72:J91">AR72*100</f>
        <v>1.1049723756906076</v>
      </c>
      <c r="K72" s="380">
        <f aca="true" t="shared" si="39" ref="K72:K91">AS72*100</f>
        <v>1.1893434823977165</v>
      </c>
      <c r="L72" s="380">
        <f aca="true" t="shared" si="40" ref="L72:L91">AT72*100</f>
        <v>1.7256255392579811</v>
      </c>
      <c r="M72" s="380">
        <f aca="true" t="shared" si="41" ref="M72:M91">AU72*100</f>
        <v>0.4788191765101601</v>
      </c>
      <c r="N72" s="380">
        <f aca="true" t="shared" si="42" ref="N72:N91">AV72*100</f>
        <v>2.179114953897202</v>
      </c>
      <c r="O72" s="380">
        <f aca="true" t="shared" si="43" ref="O72:O91">AW72*100</f>
        <v>0</v>
      </c>
      <c r="P72" s="380">
        <f aca="true" t="shared" si="44" ref="P72:P91">AX72*100</f>
        <v>0</v>
      </c>
      <c r="Q72" s="380">
        <f aca="true" t="shared" si="45" ref="Q72:Q91">AY72*100</f>
        <v>0.7940327237728586</v>
      </c>
      <c r="R72" s="380">
        <f aca="true" t="shared" si="46" ref="R72:R91">AZ72*100</f>
        <v>7.48628399504454</v>
      </c>
      <c r="S72" s="380">
        <f aca="true" t="shared" si="47" ref="S72:S91">BA72*100</f>
        <v>0</v>
      </c>
      <c r="T72" s="380">
        <f aca="true" t="shared" si="48" ref="T72:T91">BB72*100</f>
        <v>0</v>
      </c>
      <c r="U72" s="380">
        <f aca="true" t="shared" si="49" ref="U72:U91">BC72*100</f>
        <v>0</v>
      </c>
      <c r="V72" s="380">
        <f aca="true" t="shared" si="50" ref="V72:V91">BD72*100</f>
        <v>8.710407239819004</v>
      </c>
      <c r="W72" s="380">
        <f aca="true" t="shared" si="51" ref="W72:W91">BE72*100</f>
        <v>3.9668987258636546</v>
      </c>
      <c r="X72" s="380">
        <f aca="true" t="shared" si="52" ref="X72:X91">BF72*100</f>
        <v>0</v>
      </c>
      <c r="Y72" s="380">
        <f aca="true" t="shared" si="53" ref="Y72:Y91">BG72*100</f>
        <v>0</v>
      </c>
      <c r="Z72" s="380">
        <f aca="true" t="shared" si="54" ref="Z72:Z91">BH72*100</f>
        <v>0</v>
      </c>
      <c r="AA72" s="380">
        <f aca="true" t="shared" si="55" ref="AA72:AA91">BI72*100</f>
        <v>0</v>
      </c>
      <c r="AB72" s="380">
        <f aca="true" t="shared" si="56" ref="AB72:AB91">BJ72*100</f>
        <v>0</v>
      </c>
      <c r="AC72" s="380">
        <f aca="true" t="shared" si="57" ref="AC72:AC91">BK72*100</f>
        <v>0</v>
      </c>
      <c r="AD72" s="380">
        <f aca="true" t="shared" si="58" ref="AD72:AD91">BL72*100</f>
        <v>2.7506297229219143</v>
      </c>
      <c r="AE72" s="380">
        <f aca="true" t="shared" si="59" ref="AE72:AE91">BM72*100</f>
        <v>0</v>
      </c>
      <c r="AF72" s="380">
        <f aca="true" t="shared" si="60" ref="AF72:AF91">BN72*100</f>
        <v>0</v>
      </c>
      <c r="AG72" s="380">
        <f aca="true" t="shared" si="61" ref="AG72:AG91">BO72*100</f>
        <v>3.2915819578925607</v>
      </c>
      <c r="AH72" s="524">
        <f aca="true" t="shared" si="62" ref="AH72:AH91">BP72*100</f>
        <v>0.7984732718285281</v>
      </c>
      <c r="AI72" s="228">
        <f>AI9/AI28</f>
        <v>0.0132223987455382</v>
      </c>
      <c r="AJ72" s="167"/>
      <c r="AK72" s="378">
        <v>0.020870929178944803</v>
      </c>
      <c r="AL72" s="378">
        <v>0.005447630794531812</v>
      </c>
      <c r="AM72" s="378"/>
      <c r="AN72" s="378"/>
      <c r="AO72" s="334"/>
      <c r="AP72" s="378">
        <v>0.04867006225240521</v>
      </c>
      <c r="AQ72" s="378">
        <v>0.01849912739965096</v>
      </c>
      <c r="AR72" s="378">
        <v>0.011049723756906077</v>
      </c>
      <c r="AS72" s="378">
        <v>0.011893434823977164</v>
      </c>
      <c r="AT72" s="378">
        <v>0.01725625539257981</v>
      </c>
      <c r="AU72" s="378">
        <v>0.004788191765101601</v>
      </c>
      <c r="AV72" s="378">
        <v>0.02179114953897202</v>
      </c>
      <c r="AW72" s="378"/>
      <c r="AX72" s="378"/>
      <c r="AY72" s="378">
        <v>0.007940327237728586</v>
      </c>
      <c r="AZ72" s="378">
        <v>0.0748628399504454</v>
      </c>
      <c r="BA72" s="378"/>
      <c r="BB72" s="378"/>
      <c r="BC72" s="378"/>
      <c r="BD72" s="378">
        <v>0.08710407239819004</v>
      </c>
      <c r="BE72" s="378">
        <v>0.039668987258636546</v>
      </c>
      <c r="BF72" s="378"/>
      <c r="BG72" s="378"/>
      <c r="BH72" s="378"/>
      <c r="BI72" s="378"/>
      <c r="BJ72" s="378"/>
      <c r="BK72" s="378"/>
      <c r="BL72" s="378">
        <v>0.027506297229219143</v>
      </c>
      <c r="BM72" s="378"/>
      <c r="BN72" s="378"/>
      <c r="BO72" s="378">
        <v>0.03291581957892561</v>
      </c>
      <c r="BP72" s="378">
        <v>0.007984732718285282</v>
      </c>
    </row>
    <row r="73" spans="1:68" ht="12.75">
      <c r="A73" s="21"/>
      <c r="B73" s="684" t="s">
        <v>231</v>
      </c>
      <c r="C73" s="690">
        <f aca="true" t="shared" si="63" ref="C73:C91">AK73*100</f>
        <v>4.561248550101144</v>
      </c>
      <c r="D73" s="380">
        <f t="shared" si="32"/>
        <v>5.673758865248227</v>
      </c>
      <c r="E73" s="380">
        <f t="shared" si="33"/>
        <v>0</v>
      </c>
      <c r="F73" s="380">
        <f t="shared" si="34"/>
        <v>0</v>
      </c>
      <c r="G73" s="380">
        <f t="shared" si="35"/>
        <v>0</v>
      </c>
      <c r="H73" s="380">
        <f t="shared" si="36"/>
        <v>6.22524052065648</v>
      </c>
      <c r="I73" s="380">
        <f t="shared" si="37"/>
        <v>19.546247818499126</v>
      </c>
      <c r="J73" s="380">
        <f t="shared" si="38"/>
        <v>8.195211786372008</v>
      </c>
      <c r="K73" s="380">
        <f t="shared" si="39"/>
        <v>4.9476688867745</v>
      </c>
      <c r="L73" s="380">
        <f t="shared" si="40"/>
        <v>11.82053494391717</v>
      </c>
      <c r="M73" s="380">
        <f t="shared" si="41"/>
        <v>5.174017134603589</v>
      </c>
      <c r="N73" s="380">
        <f t="shared" si="42"/>
        <v>1.5856810133044061</v>
      </c>
      <c r="O73" s="380">
        <f t="shared" si="43"/>
        <v>0</v>
      </c>
      <c r="P73" s="380">
        <f t="shared" si="44"/>
        <v>0</v>
      </c>
      <c r="Q73" s="380">
        <f t="shared" si="45"/>
        <v>3.7776708373435994</v>
      </c>
      <c r="R73" s="380">
        <f t="shared" si="46"/>
        <v>0.976343578549938</v>
      </c>
      <c r="S73" s="380">
        <f t="shared" si="47"/>
        <v>0</v>
      </c>
      <c r="T73" s="380">
        <f t="shared" si="48"/>
        <v>0</v>
      </c>
      <c r="U73" s="380">
        <f t="shared" si="49"/>
        <v>0</v>
      </c>
      <c r="V73" s="380">
        <f t="shared" si="50"/>
        <v>1.4705882352941175</v>
      </c>
      <c r="W73" s="380">
        <f t="shared" si="51"/>
        <v>0.9676430666841805</v>
      </c>
      <c r="X73" s="380">
        <f t="shared" si="52"/>
        <v>0</v>
      </c>
      <c r="Y73" s="380">
        <f t="shared" si="53"/>
        <v>0</v>
      </c>
      <c r="Z73" s="380">
        <f t="shared" si="54"/>
        <v>0</v>
      </c>
      <c r="AA73" s="380">
        <f t="shared" si="55"/>
        <v>0</v>
      </c>
      <c r="AB73" s="380">
        <f t="shared" si="56"/>
        <v>0</v>
      </c>
      <c r="AC73" s="380">
        <f t="shared" si="57"/>
        <v>0</v>
      </c>
      <c r="AD73" s="380">
        <f t="shared" si="58"/>
        <v>1.6221662468513853</v>
      </c>
      <c r="AE73" s="380">
        <f t="shared" si="59"/>
        <v>0</v>
      </c>
      <c r="AF73" s="380">
        <f t="shared" si="60"/>
        <v>0</v>
      </c>
      <c r="AG73" s="380">
        <f t="shared" si="61"/>
        <v>10.59405258261259</v>
      </c>
      <c r="AH73" s="524">
        <f t="shared" si="62"/>
        <v>6.060158373714691</v>
      </c>
      <c r="AI73" s="228">
        <f>AI10/AI28</f>
        <v>0.05450925371902532</v>
      </c>
      <c r="AJ73" s="167"/>
      <c r="AK73" s="378">
        <v>0.04561248550101144</v>
      </c>
      <c r="AL73" s="378">
        <v>0.05673758865248227</v>
      </c>
      <c r="AM73" s="378"/>
      <c r="AN73" s="378"/>
      <c r="AO73" s="378"/>
      <c r="AP73" s="378">
        <v>0.0622524052065648</v>
      </c>
      <c r="AQ73" s="378">
        <v>0.19546247818499127</v>
      </c>
      <c r="AR73" s="378">
        <v>0.08195211786372007</v>
      </c>
      <c r="AS73" s="378">
        <v>0.049476688867745006</v>
      </c>
      <c r="AT73" s="378">
        <v>0.1182053494391717</v>
      </c>
      <c r="AU73" s="378">
        <v>0.05174017134603589</v>
      </c>
      <c r="AV73" s="378">
        <v>0.01585681013304406</v>
      </c>
      <c r="AW73" s="378"/>
      <c r="AX73" s="378"/>
      <c r="AY73" s="378">
        <v>0.037776708373435997</v>
      </c>
      <c r="AZ73" s="378">
        <v>0.00976343578549938</v>
      </c>
      <c r="BA73" s="378"/>
      <c r="BB73" s="378"/>
      <c r="BC73" s="378"/>
      <c r="BD73" s="378">
        <v>0.014705882352941176</v>
      </c>
      <c r="BE73" s="378">
        <v>0.009676430666841805</v>
      </c>
      <c r="BF73" s="378"/>
      <c r="BG73" s="378"/>
      <c r="BH73" s="378"/>
      <c r="BI73" s="378"/>
      <c r="BJ73" s="378"/>
      <c r="BK73" s="378"/>
      <c r="BL73" s="378">
        <v>0.016221662468513854</v>
      </c>
      <c r="BM73" s="378"/>
      <c r="BN73" s="378"/>
      <c r="BO73" s="378">
        <v>0.10594052582612591</v>
      </c>
      <c r="BP73" s="378">
        <v>0.06060158373714691</v>
      </c>
    </row>
    <row r="74" spans="1:68" ht="12.75">
      <c r="A74" s="21"/>
      <c r="B74" s="684" t="s">
        <v>233</v>
      </c>
      <c r="C74" s="691">
        <f t="shared" si="63"/>
        <v>0.02512734997829911</v>
      </c>
      <c r="D74" s="339">
        <f t="shared" si="32"/>
        <v>0</v>
      </c>
      <c r="E74" s="339">
        <f t="shared" si="33"/>
        <v>0</v>
      </c>
      <c r="F74" s="339">
        <f t="shared" si="34"/>
        <v>0</v>
      </c>
      <c r="G74" s="339">
        <f t="shared" si="35"/>
        <v>0</v>
      </c>
      <c r="H74" s="339">
        <f t="shared" si="36"/>
        <v>0</v>
      </c>
      <c r="I74" s="339">
        <f t="shared" si="37"/>
        <v>0</v>
      </c>
      <c r="J74" s="339">
        <f t="shared" si="38"/>
        <v>0.01151012891344383</v>
      </c>
      <c r="K74" s="339">
        <f t="shared" si="39"/>
        <v>0</v>
      </c>
      <c r="L74" s="339" t="s">
        <v>19</v>
      </c>
      <c r="M74" s="339">
        <f t="shared" si="41"/>
        <v>0.005935774915415207</v>
      </c>
      <c r="N74" s="339">
        <f t="shared" si="42"/>
        <v>0.003190505056950515</v>
      </c>
      <c r="O74" s="380">
        <f t="shared" si="43"/>
        <v>0</v>
      </c>
      <c r="P74" s="380">
        <f t="shared" si="44"/>
        <v>0</v>
      </c>
      <c r="Q74" s="339" t="s">
        <v>19</v>
      </c>
      <c r="R74" s="339">
        <f t="shared" si="46"/>
        <v>0</v>
      </c>
      <c r="S74" s="339">
        <f t="shared" si="47"/>
        <v>0</v>
      </c>
      <c r="T74" s="339">
        <f t="shared" si="48"/>
        <v>0</v>
      </c>
      <c r="U74" s="339">
        <f t="shared" si="49"/>
        <v>0</v>
      </c>
      <c r="V74" s="339">
        <f t="shared" si="50"/>
        <v>0</v>
      </c>
      <c r="W74" s="339">
        <f t="shared" si="51"/>
        <v>0</v>
      </c>
      <c r="X74" s="339">
        <f t="shared" si="52"/>
        <v>0</v>
      </c>
      <c r="Y74" s="339">
        <f t="shared" si="53"/>
        <v>0</v>
      </c>
      <c r="Z74" s="339">
        <f t="shared" si="54"/>
        <v>0</v>
      </c>
      <c r="AA74" s="339">
        <f t="shared" si="55"/>
        <v>0</v>
      </c>
      <c r="AB74" s="380">
        <f t="shared" si="56"/>
        <v>0</v>
      </c>
      <c r="AC74" s="339">
        <f t="shared" si="57"/>
        <v>0</v>
      </c>
      <c r="AD74" s="339">
        <f t="shared" si="58"/>
        <v>0</v>
      </c>
      <c r="AE74" s="339">
        <f t="shared" si="59"/>
        <v>0</v>
      </c>
      <c r="AF74" s="339">
        <f t="shared" si="60"/>
        <v>0</v>
      </c>
      <c r="AG74" s="339">
        <f t="shared" si="61"/>
        <v>0.08183729023810345</v>
      </c>
      <c r="AH74" s="692">
        <f t="shared" si="62"/>
        <v>5.968214020036569</v>
      </c>
      <c r="AI74" s="373">
        <f>AI11/AI28</f>
        <v>0.03552623434501826</v>
      </c>
      <c r="AJ74" s="167"/>
      <c r="AK74" s="334">
        <v>0.0002512734997829911</v>
      </c>
      <c r="AL74" s="334">
        <v>0</v>
      </c>
      <c r="AM74" s="334"/>
      <c r="AN74" s="334"/>
      <c r="AO74" s="334"/>
      <c r="AP74" s="334">
        <v>0</v>
      </c>
      <c r="AQ74" s="334">
        <v>0</v>
      </c>
      <c r="AR74" s="334">
        <v>0.00011510128913443831</v>
      </c>
      <c r="AS74" s="334">
        <v>0</v>
      </c>
      <c r="AT74" s="334" t="s">
        <v>19</v>
      </c>
      <c r="AU74" s="334">
        <v>5.935774915415207E-05</v>
      </c>
      <c r="AV74" s="334">
        <v>3.1905050569505154E-05</v>
      </c>
      <c r="AW74" s="378"/>
      <c r="AX74" s="378"/>
      <c r="AY74" s="334" t="s">
        <v>19</v>
      </c>
      <c r="AZ74" s="334">
        <v>0</v>
      </c>
      <c r="BA74" s="334"/>
      <c r="BB74" s="334"/>
      <c r="BC74" s="334"/>
      <c r="BD74" s="334">
        <v>0</v>
      </c>
      <c r="BE74" s="334">
        <v>0</v>
      </c>
      <c r="BF74" s="334"/>
      <c r="BG74" s="334"/>
      <c r="BH74" s="334"/>
      <c r="BI74" s="334"/>
      <c r="BJ74" s="378"/>
      <c r="BK74" s="334"/>
      <c r="BL74" s="334">
        <v>0</v>
      </c>
      <c r="BM74" s="334"/>
      <c r="BN74" s="334"/>
      <c r="BO74" s="334">
        <v>0.0008183729023810344</v>
      </c>
      <c r="BP74" s="334">
        <v>0.05968214020036569</v>
      </c>
    </row>
    <row r="75" spans="1:68" ht="12.75">
      <c r="A75" s="21"/>
      <c r="B75" s="684" t="s">
        <v>234</v>
      </c>
      <c r="C75" s="691">
        <f t="shared" si="63"/>
        <v>2.1035906729307374</v>
      </c>
      <c r="D75" s="339">
        <f t="shared" si="32"/>
        <v>1.0792476102374344</v>
      </c>
      <c r="E75" s="380">
        <f t="shared" si="33"/>
        <v>0</v>
      </c>
      <c r="F75" s="380">
        <f t="shared" si="34"/>
        <v>0</v>
      </c>
      <c r="G75" s="339">
        <f t="shared" si="35"/>
        <v>0</v>
      </c>
      <c r="H75" s="339">
        <f t="shared" si="36"/>
        <v>1.3016411997736277</v>
      </c>
      <c r="I75" s="339">
        <f t="shared" si="37"/>
        <v>1.5357766143106457</v>
      </c>
      <c r="J75" s="339">
        <f t="shared" si="38"/>
        <v>0.46040515653775327</v>
      </c>
      <c r="K75" s="339">
        <f t="shared" si="39"/>
        <v>0.6184586108468125</v>
      </c>
      <c r="L75" s="339">
        <f t="shared" si="40"/>
        <v>1.380500431406385</v>
      </c>
      <c r="M75" s="339">
        <f t="shared" si="41"/>
        <v>0.4392473437407254</v>
      </c>
      <c r="N75" s="339">
        <f t="shared" si="42"/>
        <v>2.1663529336694</v>
      </c>
      <c r="O75" s="380">
        <f t="shared" si="43"/>
        <v>0</v>
      </c>
      <c r="P75" s="380">
        <f t="shared" si="44"/>
        <v>0</v>
      </c>
      <c r="Q75" s="339">
        <f t="shared" si="45"/>
        <v>16.963426371511066</v>
      </c>
      <c r="R75" s="339">
        <f t="shared" si="46"/>
        <v>8.15291133266474</v>
      </c>
      <c r="S75" s="380">
        <f t="shared" si="47"/>
        <v>0</v>
      </c>
      <c r="T75" s="380">
        <f t="shared" si="48"/>
        <v>0</v>
      </c>
      <c r="U75" s="380">
        <f t="shared" si="49"/>
        <v>0</v>
      </c>
      <c r="V75" s="339">
        <f t="shared" si="50"/>
        <v>7.239819004524888</v>
      </c>
      <c r="W75" s="339">
        <f t="shared" si="51"/>
        <v>4.369718464030824</v>
      </c>
      <c r="X75" s="380">
        <f t="shared" si="52"/>
        <v>0</v>
      </c>
      <c r="Y75" s="380">
        <f t="shared" si="53"/>
        <v>0</v>
      </c>
      <c r="Z75" s="380">
        <f t="shared" si="54"/>
        <v>0</v>
      </c>
      <c r="AA75" s="380">
        <f t="shared" si="55"/>
        <v>0</v>
      </c>
      <c r="AB75" s="380">
        <f t="shared" si="56"/>
        <v>0</v>
      </c>
      <c r="AC75" s="380">
        <f t="shared" si="57"/>
        <v>0</v>
      </c>
      <c r="AD75" s="339">
        <f t="shared" si="58"/>
        <v>2.377833753148615</v>
      </c>
      <c r="AE75" s="380">
        <f t="shared" si="59"/>
        <v>0</v>
      </c>
      <c r="AF75" s="380">
        <f t="shared" si="60"/>
        <v>0</v>
      </c>
      <c r="AG75" s="339">
        <f t="shared" si="61"/>
        <v>2.63429930050653</v>
      </c>
      <c r="AH75" s="692">
        <f t="shared" si="62"/>
        <v>1.079868184125086</v>
      </c>
      <c r="AI75" s="373">
        <f>AI12/AI28</f>
        <v>0.014959663276043493</v>
      </c>
      <c r="AJ75" s="167"/>
      <c r="AK75" s="334">
        <v>0.021035906729307375</v>
      </c>
      <c r="AL75" s="334">
        <v>0.010792476102374344</v>
      </c>
      <c r="AM75" s="378"/>
      <c r="AN75" s="378"/>
      <c r="AO75" s="334"/>
      <c r="AP75" s="334">
        <v>0.013016411997736276</v>
      </c>
      <c r="AQ75" s="334">
        <v>0.015357766143106457</v>
      </c>
      <c r="AR75" s="334">
        <v>0.004604051565377533</v>
      </c>
      <c r="AS75" s="334">
        <v>0.006184586108468126</v>
      </c>
      <c r="AT75" s="334">
        <v>0.013805004314063849</v>
      </c>
      <c r="AU75" s="334">
        <v>0.004392473437407254</v>
      </c>
      <c r="AV75" s="334">
        <v>0.021663529336694</v>
      </c>
      <c r="AW75" s="378"/>
      <c r="AX75" s="378"/>
      <c r="AY75" s="334">
        <v>0.16963426371511067</v>
      </c>
      <c r="AZ75" s="334">
        <v>0.08152911332664739</v>
      </c>
      <c r="BA75" s="378"/>
      <c r="BB75" s="378"/>
      <c r="BC75" s="378"/>
      <c r="BD75" s="334">
        <v>0.07239819004524888</v>
      </c>
      <c r="BE75" s="334">
        <v>0.043697184640308244</v>
      </c>
      <c r="BF75" s="378"/>
      <c r="BG75" s="378"/>
      <c r="BH75" s="378"/>
      <c r="BI75" s="378"/>
      <c r="BJ75" s="378"/>
      <c r="BK75" s="378"/>
      <c r="BL75" s="334">
        <v>0.023778337531486147</v>
      </c>
      <c r="BM75" s="378"/>
      <c r="BN75" s="378"/>
      <c r="BO75" s="334">
        <v>0.026342993005065297</v>
      </c>
      <c r="BP75" s="334">
        <v>0.01079868184125086</v>
      </c>
    </row>
    <row r="76" spans="1:68" ht="12.75">
      <c r="A76" s="21"/>
      <c r="B76" s="684" t="s">
        <v>235</v>
      </c>
      <c r="C76" s="691">
        <f t="shared" si="63"/>
        <v>8.51436446840426</v>
      </c>
      <c r="D76" s="339">
        <f t="shared" si="32"/>
        <v>0.7194984068249562</v>
      </c>
      <c r="E76" s="380">
        <f t="shared" si="33"/>
        <v>0</v>
      </c>
      <c r="F76" s="339">
        <f t="shared" si="34"/>
        <v>0</v>
      </c>
      <c r="G76" s="339">
        <f t="shared" si="35"/>
        <v>0</v>
      </c>
      <c r="H76" s="339">
        <f t="shared" si="36"/>
        <v>11.43180531975099</v>
      </c>
      <c r="I76" s="339">
        <f t="shared" si="37"/>
        <v>4.118673647469459</v>
      </c>
      <c r="J76" s="339">
        <f t="shared" si="38"/>
        <v>2.6358195211786373</v>
      </c>
      <c r="K76" s="339">
        <f t="shared" si="39"/>
        <v>3.0922930542340628</v>
      </c>
      <c r="L76" s="339">
        <f t="shared" si="40"/>
        <v>4.659188955996549</v>
      </c>
      <c r="M76" s="339">
        <f t="shared" si="41"/>
        <v>1.266298648621911</v>
      </c>
      <c r="N76" s="339">
        <f t="shared" si="42"/>
        <v>2.092971317359538</v>
      </c>
      <c r="O76" s="380">
        <f t="shared" si="43"/>
        <v>0</v>
      </c>
      <c r="P76" s="380">
        <f t="shared" si="44"/>
        <v>0</v>
      </c>
      <c r="Q76" s="339">
        <f t="shared" si="45"/>
        <v>2.1896053897978827</v>
      </c>
      <c r="R76" s="339">
        <f t="shared" si="46"/>
        <v>6.580732700135686</v>
      </c>
      <c r="S76" s="380">
        <f t="shared" si="47"/>
        <v>0</v>
      </c>
      <c r="T76" s="380">
        <f t="shared" si="48"/>
        <v>0</v>
      </c>
      <c r="U76" s="380">
        <f t="shared" si="49"/>
        <v>0</v>
      </c>
      <c r="V76" s="339">
        <f t="shared" si="50"/>
        <v>1.809954751131222</v>
      </c>
      <c r="W76" s="339">
        <f t="shared" si="51"/>
        <v>2.48697403564079</v>
      </c>
      <c r="X76" s="380">
        <f t="shared" si="52"/>
        <v>0</v>
      </c>
      <c r="Y76" s="380">
        <f t="shared" si="53"/>
        <v>0</v>
      </c>
      <c r="Z76" s="380">
        <f t="shared" si="54"/>
        <v>0</v>
      </c>
      <c r="AA76" s="380">
        <f t="shared" si="55"/>
        <v>0</v>
      </c>
      <c r="AB76" s="380">
        <f t="shared" si="56"/>
        <v>0</v>
      </c>
      <c r="AC76" s="380">
        <f t="shared" si="57"/>
        <v>0</v>
      </c>
      <c r="AD76" s="339">
        <f t="shared" si="58"/>
        <v>1.2090680100755666</v>
      </c>
      <c r="AE76" s="380">
        <f t="shared" si="59"/>
        <v>0</v>
      </c>
      <c r="AF76" s="380">
        <f t="shared" si="60"/>
        <v>0</v>
      </c>
      <c r="AG76" s="339">
        <f t="shared" si="61"/>
        <v>25.104234864408532</v>
      </c>
      <c r="AH76" s="692">
        <f t="shared" si="62"/>
        <v>1.2533284203647184</v>
      </c>
      <c r="AI76" s="373">
        <f>AI13/AI28</f>
        <v>0.04204716611302536</v>
      </c>
      <c r="AJ76" s="167"/>
      <c r="AK76" s="334">
        <v>0.0851436446840426</v>
      </c>
      <c r="AL76" s="334">
        <v>0.007194984068249563</v>
      </c>
      <c r="AM76" s="378"/>
      <c r="AN76" s="334"/>
      <c r="AO76" s="334"/>
      <c r="AP76" s="334">
        <v>0.1143180531975099</v>
      </c>
      <c r="AQ76" s="334">
        <v>0.04118673647469459</v>
      </c>
      <c r="AR76" s="334">
        <v>0.02635819521178637</v>
      </c>
      <c r="AS76" s="334">
        <v>0.03092293054234063</v>
      </c>
      <c r="AT76" s="334">
        <v>0.04659188955996549</v>
      </c>
      <c r="AU76" s="334">
        <v>0.01266298648621911</v>
      </c>
      <c r="AV76" s="334">
        <v>0.02092971317359538</v>
      </c>
      <c r="AW76" s="378"/>
      <c r="AX76" s="378"/>
      <c r="AY76" s="334">
        <v>0.021896053897978825</v>
      </c>
      <c r="AZ76" s="334">
        <v>0.06580732700135686</v>
      </c>
      <c r="BA76" s="378"/>
      <c r="BB76" s="378"/>
      <c r="BC76" s="378"/>
      <c r="BD76" s="334">
        <v>0.01809954751131222</v>
      </c>
      <c r="BE76" s="334">
        <v>0.024869740356407898</v>
      </c>
      <c r="BF76" s="378"/>
      <c r="BG76" s="378"/>
      <c r="BH76" s="378"/>
      <c r="BI76" s="378"/>
      <c r="BJ76" s="378"/>
      <c r="BK76" s="378"/>
      <c r="BL76" s="334">
        <v>0.012090680100755667</v>
      </c>
      <c r="BM76" s="378"/>
      <c r="BN76" s="378"/>
      <c r="BO76" s="334">
        <v>0.2510423486440853</v>
      </c>
      <c r="BP76" s="334">
        <v>0.012533284203647185</v>
      </c>
    </row>
    <row r="77" spans="1:68" ht="12.75">
      <c r="A77" s="21"/>
      <c r="B77" s="684" t="s">
        <v>76</v>
      </c>
      <c r="C77" s="691">
        <f t="shared" si="63"/>
        <v>2.585578931605384</v>
      </c>
      <c r="D77" s="339">
        <f t="shared" si="32"/>
        <v>1.2334258402713536</v>
      </c>
      <c r="E77" s="380">
        <f t="shared" si="33"/>
        <v>0</v>
      </c>
      <c r="F77" s="380">
        <f t="shared" si="34"/>
        <v>0</v>
      </c>
      <c r="G77" s="380">
        <f t="shared" si="35"/>
        <v>0</v>
      </c>
      <c r="H77" s="339">
        <f t="shared" si="36"/>
        <v>1.9807583474816073</v>
      </c>
      <c r="I77" s="339">
        <f t="shared" si="37"/>
        <v>1.0471204188481675</v>
      </c>
      <c r="J77" s="339">
        <f t="shared" si="38"/>
        <v>0.7021178637200737</v>
      </c>
      <c r="K77" s="339">
        <f t="shared" si="39"/>
        <v>1.0941960038058993</v>
      </c>
      <c r="L77" s="339">
        <f t="shared" si="40"/>
        <v>1.8981880931837791</v>
      </c>
      <c r="M77" s="339">
        <f t="shared" si="41"/>
        <v>0.7320789062345423</v>
      </c>
      <c r="N77" s="339">
        <f t="shared" si="42"/>
        <v>1.330440608748365</v>
      </c>
      <c r="O77" s="380">
        <f t="shared" si="43"/>
        <v>0</v>
      </c>
      <c r="P77" s="380">
        <f t="shared" si="44"/>
        <v>0</v>
      </c>
      <c r="Q77" s="339">
        <f t="shared" si="45"/>
        <v>2.743022136669875</v>
      </c>
      <c r="R77" s="339">
        <f t="shared" si="46"/>
        <v>8.955223880597014</v>
      </c>
      <c r="S77" s="380">
        <f t="shared" si="47"/>
        <v>0</v>
      </c>
      <c r="T77" s="380">
        <f t="shared" si="48"/>
        <v>0</v>
      </c>
      <c r="U77" s="380">
        <f t="shared" si="49"/>
        <v>0</v>
      </c>
      <c r="V77" s="339">
        <f t="shared" si="50"/>
        <v>2.1493212669683257</v>
      </c>
      <c r="W77" s="339">
        <f t="shared" si="51"/>
        <v>3.0780682166469635</v>
      </c>
      <c r="X77" s="380">
        <f t="shared" si="52"/>
        <v>0</v>
      </c>
      <c r="Y77" s="380">
        <f t="shared" si="53"/>
        <v>0</v>
      </c>
      <c r="Z77" s="380">
        <f t="shared" si="54"/>
        <v>0</v>
      </c>
      <c r="AA77" s="380">
        <f t="shared" si="55"/>
        <v>0</v>
      </c>
      <c r="AB77" s="380">
        <f t="shared" si="56"/>
        <v>0</v>
      </c>
      <c r="AC77" s="380">
        <f t="shared" si="57"/>
        <v>0</v>
      </c>
      <c r="AD77" s="339">
        <f t="shared" si="58"/>
        <v>1.2191435768261965</v>
      </c>
      <c r="AE77" s="380">
        <f t="shared" si="59"/>
        <v>0</v>
      </c>
      <c r="AF77" s="380">
        <f t="shared" si="60"/>
        <v>0</v>
      </c>
      <c r="AG77" s="339">
        <f t="shared" si="61"/>
        <v>4.766376072499225</v>
      </c>
      <c r="AH77" s="692">
        <f t="shared" si="62"/>
        <v>1.8493155446790464</v>
      </c>
      <c r="AI77" s="373">
        <f>AI14/AI28</f>
        <v>0.021485753192894134</v>
      </c>
      <c r="AJ77" s="167"/>
      <c r="AK77" s="334">
        <v>0.02585578931605384</v>
      </c>
      <c r="AL77" s="334">
        <v>0.012334258402713537</v>
      </c>
      <c r="AM77" s="378"/>
      <c r="AN77" s="378"/>
      <c r="AO77" s="378"/>
      <c r="AP77" s="334">
        <v>0.019807583474816072</v>
      </c>
      <c r="AQ77" s="334">
        <v>0.010471204188481676</v>
      </c>
      <c r="AR77" s="334">
        <v>0.007021178637200737</v>
      </c>
      <c r="AS77" s="334">
        <v>0.010941960038058992</v>
      </c>
      <c r="AT77" s="334">
        <v>0.01898188093183779</v>
      </c>
      <c r="AU77" s="334">
        <v>0.0073207890623454225</v>
      </c>
      <c r="AV77" s="334">
        <v>0.013304406087483648</v>
      </c>
      <c r="AW77" s="378"/>
      <c r="AX77" s="378"/>
      <c r="AY77" s="334">
        <v>0.02743022136669875</v>
      </c>
      <c r="AZ77" s="334">
        <v>0.08955223880597014</v>
      </c>
      <c r="BA77" s="378"/>
      <c r="BB77" s="378"/>
      <c r="BC77" s="378"/>
      <c r="BD77" s="334">
        <v>0.021493212669683258</v>
      </c>
      <c r="BE77" s="334">
        <v>0.030780682166469637</v>
      </c>
      <c r="BF77" s="378"/>
      <c r="BG77" s="378"/>
      <c r="BH77" s="378"/>
      <c r="BI77" s="378"/>
      <c r="BJ77" s="378"/>
      <c r="BK77" s="378"/>
      <c r="BL77" s="334">
        <v>0.012191435768261965</v>
      </c>
      <c r="BM77" s="378"/>
      <c r="BN77" s="378"/>
      <c r="BO77" s="334">
        <v>0.047663760724992246</v>
      </c>
      <c r="BP77" s="334">
        <v>0.018493155446790463</v>
      </c>
    </row>
    <row r="78" spans="1:68" ht="12.75">
      <c r="A78" s="21"/>
      <c r="B78" s="684" t="s">
        <v>236</v>
      </c>
      <c r="C78" s="691">
        <f t="shared" si="63"/>
        <v>0.9540778643275387</v>
      </c>
      <c r="D78" s="339">
        <f t="shared" si="32"/>
        <v>0</v>
      </c>
      <c r="E78" s="339">
        <f t="shared" si="33"/>
        <v>0</v>
      </c>
      <c r="F78" s="339">
        <f t="shared" si="34"/>
        <v>0</v>
      </c>
      <c r="G78" s="339">
        <f t="shared" si="35"/>
        <v>0</v>
      </c>
      <c r="H78" s="339">
        <f t="shared" si="36"/>
        <v>0.056593095642331635</v>
      </c>
      <c r="I78" s="339">
        <f t="shared" si="37"/>
        <v>0.034904013961605584</v>
      </c>
      <c r="J78" s="339">
        <f t="shared" si="38"/>
        <v>0.01151012891344383</v>
      </c>
      <c r="K78" s="339">
        <f t="shared" si="39"/>
        <v>0</v>
      </c>
      <c r="L78" s="339">
        <f t="shared" si="40"/>
        <v>0</v>
      </c>
      <c r="M78" s="339">
        <f t="shared" si="41"/>
        <v>0.2433667715320235</v>
      </c>
      <c r="N78" s="339">
        <f t="shared" si="42"/>
        <v>0.42114666751746804</v>
      </c>
      <c r="O78" s="380">
        <f t="shared" si="43"/>
        <v>0</v>
      </c>
      <c r="P78" s="380">
        <f t="shared" si="44"/>
        <v>0</v>
      </c>
      <c r="Q78" s="339">
        <f t="shared" si="45"/>
        <v>0.5293551491819056</v>
      </c>
      <c r="R78" s="339">
        <f t="shared" si="46"/>
        <v>8.74579670815881</v>
      </c>
      <c r="S78" s="380">
        <f t="shared" si="47"/>
        <v>0</v>
      </c>
      <c r="T78" s="380">
        <f t="shared" si="48"/>
        <v>0</v>
      </c>
      <c r="U78" s="380">
        <f t="shared" si="49"/>
        <v>0</v>
      </c>
      <c r="V78" s="339">
        <f t="shared" si="50"/>
        <v>0.3393665158371041</v>
      </c>
      <c r="W78" s="339">
        <f t="shared" si="51"/>
        <v>1.3529489031919086</v>
      </c>
      <c r="X78" s="380">
        <f t="shared" si="52"/>
        <v>0</v>
      </c>
      <c r="Y78" s="380">
        <f t="shared" si="53"/>
        <v>0</v>
      </c>
      <c r="Z78" s="380">
        <f t="shared" si="54"/>
        <v>0</v>
      </c>
      <c r="AA78" s="380">
        <f t="shared" si="55"/>
        <v>0</v>
      </c>
      <c r="AB78" s="380">
        <f t="shared" si="56"/>
        <v>0</v>
      </c>
      <c r="AC78" s="380">
        <f t="shared" si="57"/>
        <v>0</v>
      </c>
      <c r="AD78" s="339">
        <f t="shared" si="58"/>
        <v>0.07052896725440806</v>
      </c>
      <c r="AE78" s="380">
        <f t="shared" si="59"/>
        <v>0</v>
      </c>
      <c r="AF78" s="380">
        <f t="shared" si="60"/>
        <v>0</v>
      </c>
      <c r="AG78" s="339">
        <f t="shared" si="61"/>
        <v>0.28169256745115606</v>
      </c>
      <c r="AH78" s="692">
        <f t="shared" si="62"/>
        <v>0.23081682738099377</v>
      </c>
      <c r="AI78" s="373">
        <f>AI15/AI28</f>
        <v>0.00524686900365197</v>
      </c>
      <c r="AJ78" s="167"/>
      <c r="AK78" s="334">
        <v>0.009540778643275388</v>
      </c>
      <c r="AL78" s="334">
        <v>0</v>
      </c>
      <c r="AM78" s="334"/>
      <c r="AN78" s="334"/>
      <c r="AO78" s="334"/>
      <c r="AP78" s="334">
        <v>0.0005659309564233164</v>
      </c>
      <c r="AQ78" s="334">
        <v>0.00034904013961605586</v>
      </c>
      <c r="AR78" s="334">
        <v>0.00011510128913443831</v>
      </c>
      <c r="AS78" s="334">
        <v>0</v>
      </c>
      <c r="AT78" s="334">
        <v>0</v>
      </c>
      <c r="AU78" s="334">
        <v>0.002433667715320235</v>
      </c>
      <c r="AV78" s="334">
        <v>0.004211466675174681</v>
      </c>
      <c r="AW78" s="378"/>
      <c r="AX78" s="378"/>
      <c r="AY78" s="334">
        <v>0.0052935514918190565</v>
      </c>
      <c r="AZ78" s="334">
        <v>0.08745796708158811</v>
      </c>
      <c r="BA78" s="378"/>
      <c r="BB78" s="378"/>
      <c r="BC78" s="378"/>
      <c r="BD78" s="334">
        <v>0.003393665158371041</v>
      </c>
      <c r="BE78" s="334">
        <v>0.013529489031919086</v>
      </c>
      <c r="BF78" s="378"/>
      <c r="BG78" s="378"/>
      <c r="BH78" s="378"/>
      <c r="BI78" s="378"/>
      <c r="BJ78" s="378"/>
      <c r="BK78" s="378"/>
      <c r="BL78" s="334">
        <v>0.0007052896725440807</v>
      </c>
      <c r="BM78" s="378"/>
      <c r="BN78" s="378"/>
      <c r="BO78" s="334">
        <v>0.0028169256745115604</v>
      </c>
      <c r="BP78" s="334">
        <v>0.0023081682738099376</v>
      </c>
    </row>
    <row r="79" spans="1:68" ht="12.75">
      <c r="A79" s="21"/>
      <c r="B79" s="684" t="s">
        <v>237</v>
      </c>
      <c r="C79" s="691">
        <f t="shared" si="63"/>
        <v>0.4060985855078644</v>
      </c>
      <c r="D79" s="339">
        <f t="shared" si="32"/>
        <v>0</v>
      </c>
      <c r="E79" s="339">
        <f t="shared" si="33"/>
        <v>0</v>
      </c>
      <c r="F79" s="380">
        <f t="shared" si="34"/>
        <v>0</v>
      </c>
      <c r="G79" s="339">
        <f t="shared" si="35"/>
        <v>0</v>
      </c>
      <c r="H79" s="339" t="s">
        <v>19</v>
      </c>
      <c r="I79" s="339" t="s">
        <v>19</v>
      </c>
      <c r="J79" s="339" t="s">
        <v>19</v>
      </c>
      <c r="K79" s="339" t="s">
        <v>19</v>
      </c>
      <c r="L79" s="339" t="s">
        <v>19</v>
      </c>
      <c r="M79" s="339">
        <f t="shared" si="41"/>
        <v>0.344274945094082</v>
      </c>
      <c r="N79" s="339">
        <f t="shared" si="42"/>
        <v>0.11166767699326803</v>
      </c>
      <c r="O79" s="380">
        <f t="shared" si="43"/>
        <v>0</v>
      </c>
      <c r="P79" s="380">
        <f t="shared" si="44"/>
        <v>0</v>
      </c>
      <c r="Q79" s="339">
        <f t="shared" si="45"/>
        <v>0.0962463907603465</v>
      </c>
      <c r="R79" s="339">
        <f t="shared" si="46"/>
        <v>0.8672054746032682</v>
      </c>
      <c r="S79" s="380">
        <f t="shared" si="47"/>
        <v>0</v>
      </c>
      <c r="T79" s="380">
        <f t="shared" si="48"/>
        <v>0</v>
      </c>
      <c r="U79" s="380">
        <f t="shared" si="49"/>
        <v>0</v>
      </c>
      <c r="V79" s="339">
        <f t="shared" si="50"/>
        <v>0.22624434389140274</v>
      </c>
      <c r="W79" s="339">
        <f t="shared" si="51"/>
        <v>1.5368448706160516</v>
      </c>
      <c r="X79" s="380">
        <f t="shared" si="52"/>
        <v>0</v>
      </c>
      <c r="Y79" s="380">
        <f t="shared" si="53"/>
        <v>0</v>
      </c>
      <c r="Z79" s="380">
        <f t="shared" si="54"/>
        <v>0</v>
      </c>
      <c r="AA79" s="380">
        <f t="shared" si="55"/>
        <v>0</v>
      </c>
      <c r="AB79" s="380">
        <f t="shared" si="56"/>
        <v>0</v>
      </c>
      <c r="AC79" s="380">
        <f t="shared" si="57"/>
        <v>0</v>
      </c>
      <c r="AD79" s="339">
        <f t="shared" si="58"/>
        <v>0.7355163727959697</v>
      </c>
      <c r="AE79" s="380">
        <f t="shared" si="59"/>
        <v>0</v>
      </c>
      <c r="AF79" s="380">
        <f t="shared" si="60"/>
        <v>0</v>
      </c>
      <c r="AG79" s="339">
        <f t="shared" si="61"/>
        <v>0.6047345026015644</v>
      </c>
      <c r="AH79" s="692">
        <f t="shared" si="62"/>
        <v>0.40688418139977894</v>
      </c>
      <c r="AI79" s="373">
        <f>AI16/AI28</f>
        <v>0.004065652918480616</v>
      </c>
      <c r="AJ79" s="167"/>
      <c r="AK79" s="334">
        <v>0.004060985855078644</v>
      </c>
      <c r="AL79" s="334">
        <v>0</v>
      </c>
      <c r="AM79" s="334"/>
      <c r="AN79" s="378"/>
      <c r="AO79" s="334"/>
      <c r="AP79" s="334" t="s">
        <v>19</v>
      </c>
      <c r="AQ79" s="334" t="s">
        <v>19</v>
      </c>
      <c r="AR79" s="334" t="s">
        <v>19</v>
      </c>
      <c r="AS79" s="334" t="s">
        <v>19</v>
      </c>
      <c r="AT79" s="334" t="s">
        <v>19</v>
      </c>
      <c r="AU79" s="334">
        <v>0.0034427494509408204</v>
      </c>
      <c r="AV79" s="334">
        <v>0.0011166767699326804</v>
      </c>
      <c r="AW79" s="378"/>
      <c r="AX79" s="378"/>
      <c r="AY79" s="334">
        <v>0.0009624639076034649</v>
      </c>
      <c r="AZ79" s="334">
        <v>0.008672054746032682</v>
      </c>
      <c r="BA79" s="378"/>
      <c r="BB79" s="378"/>
      <c r="BC79" s="378"/>
      <c r="BD79" s="334">
        <v>0.0022624434389140274</v>
      </c>
      <c r="BE79" s="334">
        <v>0.015368448706160515</v>
      </c>
      <c r="BF79" s="378"/>
      <c r="BG79" s="378"/>
      <c r="BH79" s="378"/>
      <c r="BI79" s="378"/>
      <c r="BJ79" s="378"/>
      <c r="BK79" s="378"/>
      <c r="BL79" s="334">
        <v>0.007355163727959697</v>
      </c>
      <c r="BM79" s="378"/>
      <c r="BN79" s="378"/>
      <c r="BO79" s="334">
        <v>0.006047345026015644</v>
      </c>
      <c r="BP79" s="334">
        <v>0.0040688418139977894</v>
      </c>
    </row>
    <row r="80" spans="1:68" ht="12.75">
      <c r="A80" s="21"/>
      <c r="B80" s="684" t="s">
        <v>238</v>
      </c>
      <c r="C80" s="691">
        <f t="shared" si="63"/>
        <v>1.323373765523753</v>
      </c>
      <c r="D80" s="339">
        <f t="shared" si="32"/>
        <v>0.5447630794531813</v>
      </c>
      <c r="E80" s="380">
        <f t="shared" si="33"/>
        <v>0</v>
      </c>
      <c r="F80" s="380">
        <f t="shared" si="34"/>
        <v>0</v>
      </c>
      <c r="G80" s="339">
        <f t="shared" si="35"/>
        <v>0</v>
      </c>
      <c r="H80" s="339">
        <f t="shared" si="36"/>
        <v>1.1318619128466327</v>
      </c>
      <c r="I80" s="339">
        <f t="shared" si="37"/>
        <v>0.38394415357766143</v>
      </c>
      <c r="J80" s="339">
        <f t="shared" si="38"/>
        <v>0.2532228360957643</v>
      </c>
      <c r="K80" s="339">
        <f t="shared" si="39"/>
        <v>0.285442435775452</v>
      </c>
      <c r="L80" s="339">
        <f t="shared" si="40"/>
        <v>0.4314063848144953</v>
      </c>
      <c r="M80" s="339">
        <f t="shared" si="41"/>
        <v>0.7597791891731465</v>
      </c>
      <c r="N80" s="339">
        <f t="shared" si="42"/>
        <v>1.1039147497048782</v>
      </c>
      <c r="O80" s="380">
        <f t="shared" si="43"/>
        <v>0</v>
      </c>
      <c r="P80" s="380">
        <f t="shared" si="44"/>
        <v>0</v>
      </c>
      <c r="Q80" s="339">
        <f t="shared" si="45"/>
        <v>0.6256015399422521</v>
      </c>
      <c r="R80" s="339">
        <f t="shared" si="46"/>
        <v>3.480620612353254</v>
      </c>
      <c r="S80" s="380">
        <f t="shared" si="47"/>
        <v>0</v>
      </c>
      <c r="T80" s="380">
        <f t="shared" si="48"/>
        <v>0</v>
      </c>
      <c r="U80" s="380">
        <f t="shared" si="49"/>
        <v>0</v>
      </c>
      <c r="V80" s="339">
        <f t="shared" si="50"/>
        <v>4.864253393665159</v>
      </c>
      <c r="W80" s="339">
        <f t="shared" si="51"/>
        <v>7.557248566049301</v>
      </c>
      <c r="X80" s="380">
        <f t="shared" si="52"/>
        <v>0</v>
      </c>
      <c r="Y80" s="380">
        <f t="shared" si="53"/>
        <v>0</v>
      </c>
      <c r="Z80" s="380">
        <f t="shared" si="54"/>
        <v>0</v>
      </c>
      <c r="AA80" s="380">
        <f t="shared" si="55"/>
        <v>0</v>
      </c>
      <c r="AB80" s="380">
        <f t="shared" si="56"/>
        <v>0</v>
      </c>
      <c r="AC80" s="380">
        <f t="shared" si="57"/>
        <v>0</v>
      </c>
      <c r="AD80" s="339">
        <f t="shared" si="58"/>
        <v>0.8161209068010076</v>
      </c>
      <c r="AE80" s="380">
        <f t="shared" si="59"/>
        <v>0</v>
      </c>
      <c r="AF80" s="380">
        <f t="shared" si="60"/>
        <v>0</v>
      </c>
      <c r="AG80" s="339">
        <f t="shared" si="61"/>
        <v>1.4274146307846043</v>
      </c>
      <c r="AH80" s="692">
        <f t="shared" si="62"/>
        <v>0.35282993944534435</v>
      </c>
      <c r="AI80" s="373">
        <f>AI17/AI28</f>
        <v>0.007474157674293849</v>
      </c>
      <c r="AJ80" s="167"/>
      <c r="AK80" s="334">
        <v>0.01323373765523753</v>
      </c>
      <c r="AL80" s="334">
        <v>0.005447630794531812</v>
      </c>
      <c r="AM80" s="378"/>
      <c r="AN80" s="378"/>
      <c r="AO80" s="334"/>
      <c r="AP80" s="334">
        <v>0.011318619128466326</v>
      </c>
      <c r="AQ80" s="334">
        <v>0.0038394415357766143</v>
      </c>
      <c r="AR80" s="334">
        <v>0.0025322283609576428</v>
      </c>
      <c r="AS80" s="334">
        <v>0.0028544243577545195</v>
      </c>
      <c r="AT80" s="334">
        <v>0.004314063848144953</v>
      </c>
      <c r="AU80" s="334">
        <v>0.007597791891731465</v>
      </c>
      <c r="AV80" s="334">
        <v>0.011039147497048783</v>
      </c>
      <c r="AW80" s="378"/>
      <c r="AX80" s="378"/>
      <c r="AY80" s="334">
        <v>0.006256015399422521</v>
      </c>
      <c r="AZ80" s="334">
        <v>0.03480620612353254</v>
      </c>
      <c r="BA80" s="378"/>
      <c r="BB80" s="378"/>
      <c r="BC80" s="378"/>
      <c r="BD80" s="334">
        <v>0.048642533936651584</v>
      </c>
      <c r="BE80" s="334">
        <v>0.07557248566049302</v>
      </c>
      <c r="BF80" s="378"/>
      <c r="BG80" s="378"/>
      <c r="BH80" s="378"/>
      <c r="BI80" s="378"/>
      <c r="BJ80" s="378"/>
      <c r="BK80" s="378"/>
      <c r="BL80" s="334">
        <v>0.008161209068010076</v>
      </c>
      <c r="BM80" s="378"/>
      <c r="BN80" s="378"/>
      <c r="BO80" s="334">
        <v>0.014274146307846042</v>
      </c>
      <c r="BP80" s="334">
        <v>0.003528299394453444</v>
      </c>
    </row>
    <row r="81" spans="1:68" ht="12.75">
      <c r="A81" s="21"/>
      <c r="B81" s="684" t="s">
        <v>239</v>
      </c>
      <c r="C81" s="691">
        <f t="shared" si="63"/>
        <v>1.417030251806504</v>
      </c>
      <c r="D81" s="339">
        <f t="shared" si="32"/>
        <v>0.43169904409497384</v>
      </c>
      <c r="E81" s="380">
        <f t="shared" si="33"/>
        <v>0</v>
      </c>
      <c r="F81" s="339">
        <f t="shared" si="34"/>
        <v>0</v>
      </c>
      <c r="G81" s="339">
        <f t="shared" si="35"/>
        <v>0</v>
      </c>
      <c r="H81" s="339">
        <f t="shared" si="36"/>
        <v>2.2071307300509337</v>
      </c>
      <c r="I81" s="339">
        <f t="shared" si="37"/>
        <v>0.7678883071553229</v>
      </c>
      <c r="J81" s="339">
        <f t="shared" si="38"/>
        <v>0.49493554327808476</v>
      </c>
      <c r="K81" s="339">
        <f t="shared" si="39"/>
        <v>0.570884871550904</v>
      </c>
      <c r="L81" s="339">
        <f t="shared" si="40"/>
        <v>0.7765314926660914</v>
      </c>
      <c r="M81" s="339">
        <f t="shared" si="41"/>
        <v>1.056567934943907</v>
      </c>
      <c r="N81" s="339">
        <f t="shared" si="42"/>
        <v>1.7675398015505857</v>
      </c>
      <c r="O81" s="380">
        <f t="shared" si="43"/>
        <v>0</v>
      </c>
      <c r="P81" s="380">
        <f t="shared" si="44"/>
        <v>0</v>
      </c>
      <c r="Q81" s="339">
        <f t="shared" si="45"/>
        <v>0.8180943214629451</v>
      </c>
      <c r="R81" s="339">
        <f t="shared" si="46"/>
        <v>3.831632352073624</v>
      </c>
      <c r="S81" s="380">
        <f t="shared" si="47"/>
        <v>0</v>
      </c>
      <c r="T81" s="380">
        <f t="shared" si="48"/>
        <v>0</v>
      </c>
      <c r="U81" s="380">
        <f t="shared" si="49"/>
        <v>0</v>
      </c>
      <c r="V81" s="339">
        <f t="shared" si="50"/>
        <v>0.7918552036199095</v>
      </c>
      <c r="W81" s="339">
        <f t="shared" si="51"/>
        <v>5.4643373177459615</v>
      </c>
      <c r="X81" s="380">
        <f t="shared" si="52"/>
        <v>0</v>
      </c>
      <c r="Y81" s="380">
        <f t="shared" si="53"/>
        <v>0</v>
      </c>
      <c r="Z81" s="380">
        <f t="shared" si="54"/>
        <v>0</v>
      </c>
      <c r="AA81" s="380">
        <f t="shared" si="55"/>
        <v>0</v>
      </c>
      <c r="AB81" s="380">
        <f t="shared" si="56"/>
        <v>0</v>
      </c>
      <c r="AC81" s="380">
        <f t="shared" si="57"/>
        <v>0</v>
      </c>
      <c r="AD81" s="339">
        <f t="shared" si="58"/>
        <v>1.1687657430730478</v>
      </c>
      <c r="AE81" s="380">
        <f t="shared" si="59"/>
        <v>0</v>
      </c>
      <c r="AF81" s="380">
        <f t="shared" si="60"/>
        <v>0</v>
      </c>
      <c r="AG81" s="339">
        <f t="shared" si="61"/>
        <v>1.8762275593535716</v>
      </c>
      <c r="AH81" s="692">
        <f t="shared" si="62"/>
        <v>0.02016171082544825</v>
      </c>
      <c r="AI81" s="373">
        <f>AI18/AI28</f>
        <v>0.005878226422101636</v>
      </c>
      <c r="AJ81" s="167"/>
      <c r="AK81" s="334">
        <v>0.014170302518065041</v>
      </c>
      <c r="AL81" s="334">
        <v>0.004316990440949738</v>
      </c>
      <c r="AM81" s="378"/>
      <c r="AN81" s="334"/>
      <c r="AO81" s="334"/>
      <c r="AP81" s="334">
        <v>0.022071307300509338</v>
      </c>
      <c r="AQ81" s="334">
        <v>0.007678883071553229</v>
      </c>
      <c r="AR81" s="334">
        <v>0.0049493554327808475</v>
      </c>
      <c r="AS81" s="334">
        <v>0.005708848715509039</v>
      </c>
      <c r="AT81" s="334">
        <v>0.007765314926660914</v>
      </c>
      <c r="AU81" s="334">
        <v>0.01056567934943907</v>
      </c>
      <c r="AV81" s="334">
        <v>0.017675398015505855</v>
      </c>
      <c r="AW81" s="378"/>
      <c r="AX81" s="378"/>
      <c r="AY81" s="334">
        <v>0.008180943214629451</v>
      </c>
      <c r="AZ81" s="334">
        <v>0.03831632352073624</v>
      </c>
      <c r="BA81" s="378"/>
      <c r="BB81" s="378"/>
      <c r="BC81" s="378"/>
      <c r="BD81" s="334">
        <v>0.007918552036199095</v>
      </c>
      <c r="BE81" s="334">
        <v>0.05464337317745961</v>
      </c>
      <c r="BF81" s="378"/>
      <c r="BG81" s="378"/>
      <c r="BH81" s="378"/>
      <c r="BI81" s="378"/>
      <c r="BJ81" s="378"/>
      <c r="BK81" s="378"/>
      <c r="BL81" s="334">
        <v>0.011687657430730478</v>
      </c>
      <c r="BM81" s="378"/>
      <c r="BN81" s="378"/>
      <c r="BO81" s="334">
        <v>0.018762275593535716</v>
      </c>
      <c r="BP81" s="334">
        <v>0.00020161710825448252</v>
      </c>
    </row>
    <row r="82" spans="1:68" ht="12.75">
      <c r="A82" s="21"/>
      <c r="B82" s="684" t="s">
        <v>240</v>
      </c>
      <c r="C82" s="691">
        <f t="shared" si="63"/>
        <v>2.2327807854454265</v>
      </c>
      <c r="D82" s="339">
        <f t="shared" si="32"/>
        <v>0.6475485661424607</v>
      </c>
      <c r="E82" s="380">
        <f t="shared" si="33"/>
        <v>0</v>
      </c>
      <c r="F82" s="339">
        <f t="shared" si="34"/>
        <v>0</v>
      </c>
      <c r="G82" s="339">
        <f t="shared" si="35"/>
        <v>0</v>
      </c>
      <c r="H82" s="339">
        <f t="shared" si="36"/>
        <v>5.659309564233164</v>
      </c>
      <c r="I82" s="339">
        <f t="shared" si="37"/>
        <v>4.956369982547993</v>
      </c>
      <c r="J82" s="339">
        <f t="shared" si="38"/>
        <v>3.9364640883977895</v>
      </c>
      <c r="K82" s="339">
        <f t="shared" si="39"/>
        <v>3.2350142721217887</v>
      </c>
      <c r="L82" s="339">
        <f t="shared" si="40"/>
        <v>6.298533218291631</v>
      </c>
      <c r="M82" s="339">
        <f t="shared" si="41"/>
        <v>1.2821273817296848</v>
      </c>
      <c r="N82" s="339">
        <f t="shared" si="42"/>
        <v>0.6795775771304597</v>
      </c>
      <c r="O82" s="380">
        <f t="shared" si="43"/>
        <v>0</v>
      </c>
      <c r="P82" s="380">
        <f t="shared" si="44"/>
        <v>0</v>
      </c>
      <c r="Q82" s="339">
        <f t="shared" si="45"/>
        <v>1.1549566891241578</v>
      </c>
      <c r="R82" s="339">
        <f t="shared" si="46"/>
        <v>1.7314612707214916</v>
      </c>
      <c r="S82" s="380">
        <f t="shared" si="47"/>
        <v>0</v>
      </c>
      <c r="T82" s="380">
        <f t="shared" si="48"/>
        <v>0</v>
      </c>
      <c r="U82" s="380">
        <f t="shared" si="49"/>
        <v>0</v>
      </c>
      <c r="V82" s="339">
        <f t="shared" si="50"/>
        <v>3.619909502262444</v>
      </c>
      <c r="W82" s="339">
        <f t="shared" si="51"/>
        <v>6.191164236612812</v>
      </c>
      <c r="X82" s="380">
        <f t="shared" si="52"/>
        <v>0</v>
      </c>
      <c r="Y82" s="380">
        <f t="shared" si="53"/>
        <v>0</v>
      </c>
      <c r="Z82" s="380">
        <f t="shared" si="54"/>
        <v>0</v>
      </c>
      <c r="AA82" s="380">
        <f t="shared" si="55"/>
        <v>0</v>
      </c>
      <c r="AB82" s="380">
        <f t="shared" si="56"/>
        <v>0</v>
      </c>
      <c r="AC82" s="380">
        <f t="shared" si="57"/>
        <v>0</v>
      </c>
      <c r="AD82" s="339">
        <f t="shared" si="58"/>
        <v>1.4408060453400504</v>
      </c>
      <c r="AE82" s="380">
        <f t="shared" si="59"/>
        <v>0</v>
      </c>
      <c r="AF82" s="380">
        <f t="shared" si="60"/>
        <v>0</v>
      </c>
      <c r="AG82" s="339">
        <f t="shared" si="61"/>
        <v>4.425243788980394</v>
      </c>
      <c r="AH82" s="692">
        <f t="shared" si="62"/>
        <v>1.0661373638215481</v>
      </c>
      <c r="AI82" s="373">
        <f>AI19/AI28</f>
        <v>0.015403264076588194</v>
      </c>
      <c r="AJ82" s="167"/>
      <c r="AK82" s="334">
        <v>0.022327807854454266</v>
      </c>
      <c r="AL82" s="334">
        <v>0.0064754856614246065</v>
      </c>
      <c r="AM82" s="378"/>
      <c r="AN82" s="334"/>
      <c r="AO82" s="334"/>
      <c r="AP82" s="334">
        <v>0.056593095642331635</v>
      </c>
      <c r="AQ82" s="334">
        <v>0.04956369982547993</v>
      </c>
      <c r="AR82" s="334">
        <v>0.0393646408839779</v>
      </c>
      <c r="AS82" s="334">
        <v>0.03235014272121789</v>
      </c>
      <c r="AT82" s="334">
        <v>0.06298533218291631</v>
      </c>
      <c r="AU82" s="334">
        <v>0.012821273817296848</v>
      </c>
      <c r="AV82" s="334">
        <v>0.006795775771304598</v>
      </c>
      <c r="AW82" s="378"/>
      <c r="AX82" s="378"/>
      <c r="AY82" s="334">
        <v>0.011549566891241578</v>
      </c>
      <c r="AZ82" s="334">
        <v>0.017314612707214915</v>
      </c>
      <c r="BA82" s="378"/>
      <c r="BB82" s="378"/>
      <c r="BC82" s="378"/>
      <c r="BD82" s="334">
        <v>0.03619909502262444</v>
      </c>
      <c r="BE82" s="334">
        <v>0.06191164236612812</v>
      </c>
      <c r="BF82" s="378"/>
      <c r="BG82" s="378"/>
      <c r="BH82" s="378"/>
      <c r="BI82" s="378"/>
      <c r="BJ82" s="378"/>
      <c r="BK82" s="378"/>
      <c r="BL82" s="334">
        <v>0.014408060453400503</v>
      </c>
      <c r="BM82" s="378"/>
      <c r="BN82" s="378"/>
      <c r="BO82" s="334">
        <v>0.04425243788980394</v>
      </c>
      <c r="BP82" s="334">
        <v>0.01066137363821548</v>
      </c>
    </row>
    <row r="83" spans="1:68" ht="12.75">
      <c r="A83" s="21"/>
      <c r="B83" s="684" t="s">
        <v>134</v>
      </c>
      <c r="C83" s="691">
        <f t="shared" si="63"/>
        <v>2.0172947235103162</v>
      </c>
      <c r="D83" s="339">
        <f t="shared" si="32"/>
        <v>0.1541782300339192</v>
      </c>
      <c r="E83" s="380">
        <f t="shared" si="33"/>
        <v>0</v>
      </c>
      <c r="F83" s="339">
        <f t="shared" si="34"/>
        <v>0</v>
      </c>
      <c r="G83" s="339">
        <f t="shared" si="35"/>
        <v>0</v>
      </c>
      <c r="H83" s="339">
        <f t="shared" si="36"/>
        <v>2.2071307300509337</v>
      </c>
      <c r="I83" s="339">
        <f t="shared" si="37"/>
        <v>0.7678883071553229</v>
      </c>
      <c r="J83" s="339">
        <f t="shared" si="38"/>
        <v>0.5064456721915286</v>
      </c>
      <c r="K83" s="339">
        <f t="shared" si="39"/>
        <v>0.570884871550904</v>
      </c>
      <c r="L83" s="339">
        <f t="shared" si="40"/>
        <v>0.7765314926660914</v>
      </c>
      <c r="M83" s="339">
        <f t="shared" si="41"/>
        <v>1.0427177934746048</v>
      </c>
      <c r="N83" s="339">
        <f t="shared" si="42"/>
        <v>3.4999840474747157</v>
      </c>
      <c r="O83" s="380">
        <f t="shared" si="43"/>
        <v>0</v>
      </c>
      <c r="P83" s="380">
        <f t="shared" si="44"/>
        <v>0</v>
      </c>
      <c r="Q83" s="339">
        <f t="shared" si="45"/>
        <v>3.897978825794033</v>
      </c>
      <c r="R83" s="339">
        <f t="shared" si="46"/>
        <v>4.743083003952568</v>
      </c>
      <c r="S83" s="380">
        <f t="shared" si="47"/>
        <v>0</v>
      </c>
      <c r="T83" s="380">
        <f t="shared" si="48"/>
        <v>0</v>
      </c>
      <c r="U83" s="380">
        <f t="shared" si="49"/>
        <v>0</v>
      </c>
      <c r="V83" s="339">
        <f t="shared" si="50"/>
        <v>17.081447963800905</v>
      </c>
      <c r="W83" s="339">
        <f t="shared" si="51"/>
        <v>5.85402162966855</v>
      </c>
      <c r="X83" s="380">
        <f t="shared" si="52"/>
        <v>0</v>
      </c>
      <c r="Y83" s="380">
        <f t="shared" si="53"/>
        <v>0</v>
      </c>
      <c r="Z83" s="380">
        <f t="shared" si="54"/>
        <v>0</v>
      </c>
      <c r="AA83" s="380">
        <f t="shared" si="55"/>
        <v>0</v>
      </c>
      <c r="AB83" s="380">
        <f t="shared" si="56"/>
        <v>0</v>
      </c>
      <c r="AC83" s="380">
        <f t="shared" si="57"/>
        <v>0</v>
      </c>
      <c r="AD83" s="339">
        <f t="shared" si="58"/>
        <v>4.614609571788413</v>
      </c>
      <c r="AE83" s="380">
        <f t="shared" si="59"/>
        <v>0</v>
      </c>
      <c r="AF83" s="380">
        <f t="shared" si="60"/>
        <v>0</v>
      </c>
      <c r="AG83" s="339">
        <f t="shared" si="61"/>
        <v>3.0701905516694805</v>
      </c>
      <c r="AH83" s="692">
        <f t="shared" si="62"/>
        <v>0.06500413662687626</v>
      </c>
      <c r="AI83" s="373">
        <f>AI20/AI28</f>
        <v>0.008585222935193019</v>
      </c>
      <c r="AJ83" s="167"/>
      <c r="AK83" s="334">
        <v>0.020172947235103163</v>
      </c>
      <c r="AL83" s="334">
        <v>0.001541782300339192</v>
      </c>
      <c r="AM83" s="378"/>
      <c r="AN83" s="334"/>
      <c r="AO83" s="334"/>
      <c r="AP83" s="334">
        <v>0.022071307300509338</v>
      </c>
      <c r="AQ83" s="334">
        <v>0.007678883071553229</v>
      </c>
      <c r="AR83" s="334">
        <v>0.0050644567219152855</v>
      </c>
      <c r="AS83" s="334">
        <v>0.005708848715509039</v>
      </c>
      <c r="AT83" s="334">
        <v>0.007765314926660914</v>
      </c>
      <c r="AU83" s="334">
        <v>0.010427177934746047</v>
      </c>
      <c r="AV83" s="334">
        <v>0.034999840474747156</v>
      </c>
      <c r="AW83" s="378"/>
      <c r="AX83" s="378"/>
      <c r="AY83" s="334">
        <v>0.03897978825794033</v>
      </c>
      <c r="AZ83" s="334">
        <v>0.04743083003952569</v>
      </c>
      <c r="BA83" s="378"/>
      <c r="BB83" s="378"/>
      <c r="BC83" s="378"/>
      <c r="BD83" s="334">
        <v>0.17081447963800905</v>
      </c>
      <c r="BE83" s="334">
        <v>0.058540216296685495</v>
      </c>
      <c r="BF83" s="378"/>
      <c r="BG83" s="378"/>
      <c r="BH83" s="378"/>
      <c r="BI83" s="378"/>
      <c r="BJ83" s="378"/>
      <c r="BK83" s="378"/>
      <c r="BL83" s="334">
        <v>0.04614609571788413</v>
      </c>
      <c r="BM83" s="378"/>
      <c r="BN83" s="378"/>
      <c r="BO83" s="334">
        <v>0.030701905516694807</v>
      </c>
      <c r="BP83" s="334">
        <v>0.0006500413662687626</v>
      </c>
    </row>
    <row r="84" spans="1:68" ht="12.75">
      <c r="A84" s="21"/>
      <c r="B84" s="684" t="s">
        <v>241</v>
      </c>
      <c r="C84" s="691">
        <f t="shared" si="63"/>
        <v>2.2992794288223393</v>
      </c>
      <c r="D84" s="339">
        <f t="shared" si="32"/>
        <v>0.1541782300339192</v>
      </c>
      <c r="E84" s="380">
        <f t="shared" si="33"/>
        <v>0</v>
      </c>
      <c r="F84" s="380">
        <f t="shared" si="34"/>
        <v>0</v>
      </c>
      <c r="G84" s="339">
        <f t="shared" si="35"/>
        <v>0</v>
      </c>
      <c r="H84" s="339">
        <f t="shared" si="36"/>
        <v>1.9241652518392758</v>
      </c>
      <c r="I84" s="339">
        <f t="shared" si="37"/>
        <v>0.6631762652705061</v>
      </c>
      <c r="J84" s="339">
        <f t="shared" si="38"/>
        <v>0.43738489871086556</v>
      </c>
      <c r="K84" s="339">
        <f t="shared" si="39"/>
        <v>0.47573739295908657</v>
      </c>
      <c r="L84" s="339">
        <f t="shared" si="40"/>
        <v>0.6902502157031924</v>
      </c>
      <c r="M84" s="339">
        <f t="shared" si="41"/>
        <v>0.9675313112126789</v>
      </c>
      <c r="N84" s="339">
        <f t="shared" si="42"/>
        <v>2.919312127109721</v>
      </c>
      <c r="O84" s="380">
        <f t="shared" si="43"/>
        <v>0</v>
      </c>
      <c r="P84" s="380">
        <f t="shared" si="44"/>
        <v>0</v>
      </c>
      <c r="Q84" s="339">
        <f t="shared" si="45"/>
        <v>8.277189605389799</v>
      </c>
      <c r="R84" s="339">
        <f t="shared" si="46"/>
        <v>6.029142823432246</v>
      </c>
      <c r="S84" s="380">
        <f t="shared" si="47"/>
        <v>0</v>
      </c>
      <c r="T84" s="380">
        <f t="shared" si="48"/>
        <v>0</v>
      </c>
      <c r="U84" s="380">
        <f t="shared" si="49"/>
        <v>0</v>
      </c>
      <c r="V84" s="339">
        <f t="shared" si="50"/>
        <v>5.316742081447964</v>
      </c>
      <c r="W84" s="339">
        <f t="shared" si="51"/>
        <v>6.453872761504444</v>
      </c>
      <c r="X84" s="380">
        <f t="shared" si="52"/>
        <v>0</v>
      </c>
      <c r="Y84" s="380">
        <f t="shared" si="53"/>
        <v>0</v>
      </c>
      <c r="Z84" s="380">
        <f t="shared" si="54"/>
        <v>0</v>
      </c>
      <c r="AA84" s="380">
        <f t="shared" si="55"/>
        <v>0</v>
      </c>
      <c r="AB84" s="380">
        <f t="shared" si="56"/>
        <v>0</v>
      </c>
      <c r="AC84" s="380">
        <f t="shared" si="57"/>
        <v>0</v>
      </c>
      <c r="AD84" s="339">
        <f t="shared" si="58"/>
        <v>4.785894206549118</v>
      </c>
      <c r="AE84" s="380">
        <f t="shared" si="59"/>
        <v>0</v>
      </c>
      <c r="AF84" s="380">
        <f t="shared" si="60"/>
        <v>0</v>
      </c>
      <c r="AG84" s="339">
        <f t="shared" si="61"/>
        <v>3.499190241549223</v>
      </c>
      <c r="AH84" s="692">
        <f t="shared" si="62"/>
        <v>0.1567746824530545</v>
      </c>
      <c r="AI84" s="373">
        <f>AI21/AI28</f>
        <v>0.010275032496337714</v>
      </c>
      <c r="AJ84" s="167"/>
      <c r="AK84" s="334">
        <v>0.022992794288223393</v>
      </c>
      <c r="AL84" s="334">
        <v>0.001541782300339192</v>
      </c>
      <c r="AM84" s="378"/>
      <c r="AN84" s="378"/>
      <c r="AO84" s="334"/>
      <c r="AP84" s="334">
        <v>0.019241652518392757</v>
      </c>
      <c r="AQ84" s="334">
        <v>0.006631762652705061</v>
      </c>
      <c r="AR84" s="334">
        <v>0.004373848987108656</v>
      </c>
      <c r="AS84" s="334">
        <v>0.004757373929590866</v>
      </c>
      <c r="AT84" s="334">
        <v>0.006902502157031924</v>
      </c>
      <c r="AU84" s="334">
        <v>0.009675313112126788</v>
      </c>
      <c r="AV84" s="334">
        <v>0.029193121271097213</v>
      </c>
      <c r="AW84" s="378"/>
      <c r="AX84" s="378"/>
      <c r="AY84" s="334">
        <v>0.08277189605389798</v>
      </c>
      <c r="AZ84" s="334">
        <v>0.06029142823432246</v>
      </c>
      <c r="BA84" s="378"/>
      <c r="BB84" s="378"/>
      <c r="BC84" s="378"/>
      <c r="BD84" s="334">
        <v>0.053167420814479636</v>
      </c>
      <c r="BE84" s="334">
        <v>0.06453872761504444</v>
      </c>
      <c r="BF84" s="378"/>
      <c r="BG84" s="378"/>
      <c r="BH84" s="378"/>
      <c r="BI84" s="378"/>
      <c r="BJ84" s="378"/>
      <c r="BK84" s="378"/>
      <c r="BL84" s="334">
        <v>0.04785894206549118</v>
      </c>
      <c r="BM84" s="378"/>
      <c r="BN84" s="378"/>
      <c r="BO84" s="334">
        <v>0.03499190241549223</v>
      </c>
      <c r="BP84" s="334">
        <v>0.001567746824530545</v>
      </c>
    </row>
    <row r="85" spans="1:68" ht="12.75">
      <c r="A85" s="21"/>
      <c r="B85" s="684" t="s">
        <v>242</v>
      </c>
      <c r="C85" s="691">
        <f t="shared" si="63"/>
        <v>3.638389514534522</v>
      </c>
      <c r="D85" s="339">
        <f t="shared" si="32"/>
        <v>0.6167129201356768</v>
      </c>
      <c r="E85" s="380">
        <f t="shared" si="33"/>
        <v>0</v>
      </c>
      <c r="F85" s="339">
        <f t="shared" si="34"/>
        <v>0</v>
      </c>
      <c r="G85" s="339">
        <f t="shared" si="35"/>
        <v>0</v>
      </c>
      <c r="H85" s="339">
        <f t="shared" si="36"/>
        <v>4.640633842671194</v>
      </c>
      <c r="I85" s="339">
        <f t="shared" si="37"/>
        <v>3.9441535776614307</v>
      </c>
      <c r="J85" s="339">
        <f t="shared" si="38"/>
        <v>3.602670349907919</v>
      </c>
      <c r="K85" s="339">
        <f t="shared" si="39"/>
        <v>3.0447193149381544</v>
      </c>
      <c r="L85" s="339">
        <f t="shared" si="40"/>
        <v>5.090595340811044</v>
      </c>
      <c r="M85" s="339">
        <f t="shared" si="41"/>
        <v>0.9576383530203202</v>
      </c>
      <c r="N85" s="339">
        <f t="shared" si="42"/>
        <v>3.1713620266088123</v>
      </c>
      <c r="O85" s="380">
        <f t="shared" si="43"/>
        <v>0</v>
      </c>
      <c r="P85" s="380">
        <f t="shared" si="44"/>
        <v>0</v>
      </c>
      <c r="Q85" s="339">
        <f t="shared" si="45"/>
        <v>2.430221366698749</v>
      </c>
      <c r="R85" s="339">
        <f t="shared" si="46"/>
        <v>4.046958881481919</v>
      </c>
      <c r="S85" s="380">
        <f t="shared" si="47"/>
        <v>0</v>
      </c>
      <c r="T85" s="380">
        <f t="shared" si="48"/>
        <v>0</v>
      </c>
      <c r="U85" s="380">
        <f t="shared" si="49"/>
        <v>0</v>
      </c>
      <c r="V85" s="339">
        <f t="shared" si="50"/>
        <v>2.3755656108597285</v>
      </c>
      <c r="W85" s="339">
        <f t="shared" si="51"/>
        <v>17.0235124129778</v>
      </c>
      <c r="X85" s="380">
        <f t="shared" si="52"/>
        <v>0</v>
      </c>
      <c r="Y85" s="380">
        <f t="shared" si="53"/>
        <v>0</v>
      </c>
      <c r="Z85" s="380">
        <f t="shared" si="54"/>
        <v>0</v>
      </c>
      <c r="AA85" s="380">
        <f t="shared" si="55"/>
        <v>0</v>
      </c>
      <c r="AB85" s="380">
        <f t="shared" si="56"/>
        <v>0</v>
      </c>
      <c r="AC85" s="380">
        <f t="shared" si="57"/>
        <v>0</v>
      </c>
      <c r="AD85" s="339">
        <f t="shared" si="58"/>
        <v>3.2644836272040303</v>
      </c>
      <c r="AE85" s="380">
        <f t="shared" si="59"/>
        <v>0</v>
      </c>
      <c r="AF85" s="380">
        <f t="shared" si="60"/>
        <v>0</v>
      </c>
      <c r="AG85" s="339">
        <f t="shared" si="61"/>
        <v>6.421212225629716</v>
      </c>
      <c r="AH85" s="692">
        <f t="shared" si="62"/>
        <v>0.9429075967935928</v>
      </c>
      <c r="AI85" s="373">
        <f>AI22/AI28</f>
        <v>0.02038603585945076</v>
      </c>
      <c r="AJ85" s="167"/>
      <c r="AK85" s="334">
        <v>0.03638389514534522</v>
      </c>
      <c r="AL85" s="334">
        <v>0.006167129201356768</v>
      </c>
      <c r="AM85" s="378"/>
      <c r="AN85" s="334"/>
      <c r="AO85" s="334"/>
      <c r="AP85" s="334">
        <v>0.04640633842671194</v>
      </c>
      <c r="AQ85" s="334">
        <v>0.03944153577661431</v>
      </c>
      <c r="AR85" s="334">
        <v>0.03602670349907919</v>
      </c>
      <c r="AS85" s="334">
        <v>0.030447193149381543</v>
      </c>
      <c r="AT85" s="334">
        <v>0.05090595340811044</v>
      </c>
      <c r="AU85" s="334">
        <v>0.009576383530203202</v>
      </c>
      <c r="AV85" s="334">
        <v>0.03171362026608812</v>
      </c>
      <c r="AW85" s="378"/>
      <c r="AX85" s="378"/>
      <c r="AY85" s="334">
        <v>0.02430221366698749</v>
      </c>
      <c r="AZ85" s="334">
        <v>0.040469588814819185</v>
      </c>
      <c r="BA85" s="378"/>
      <c r="BB85" s="378"/>
      <c r="BC85" s="378"/>
      <c r="BD85" s="334">
        <v>0.023755656108597284</v>
      </c>
      <c r="BE85" s="334">
        <v>0.170235124129778</v>
      </c>
      <c r="BF85" s="378"/>
      <c r="BG85" s="378"/>
      <c r="BH85" s="378"/>
      <c r="BI85" s="378"/>
      <c r="BJ85" s="378"/>
      <c r="BK85" s="378"/>
      <c r="BL85" s="334">
        <v>0.032644836272040303</v>
      </c>
      <c r="BM85" s="378"/>
      <c r="BN85" s="378"/>
      <c r="BO85" s="334">
        <v>0.06421212225629716</v>
      </c>
      <c r="BP85" s="334">
        <v>0.009429075967935928</v>
      </c>
    </row>
    <row r="86" spans="1:68" ht="12.75">
      <c r="A86" s="21"/>
      <c r="B86" s="684" t="s">
        <v>187</v>
      </c>
      <c r="C86" s="691">
        <f t="shared" si="63"/>
        <v>0.798998966986723</v>
      </c>
      <c r="D86" s="339">
        <f t="shared" si="32"/>
        <v>0.6578271148113887</v>
      </c>
      <c r="E86" s="380">
        <f t="shared" si="33"/>
        <v>0</v>
      </c>
      <c r="F86" s="339">
        <f t="shared" si="34"/>
        <v>0</v>
      </c>
      <c r="G86" s="339">
        <f t="shared" si="35"/>
        <v>0</v>
      </c>
      <c r="H86" s="339">
        <f t="shared" si="36"/>
        <v>2.0939445387662703</v>
      </c>
      <c r="I86" s="339">
        <f t="shared" si="37"/>
        <v>0.7329842931937173</v>
      </c>
      <c r="J86" s="339">
        <f t="shared" si="38"/>
        <v>0.47191528545119704</v>
      </c>
      <c r="K86" s="339">
        <f t="shared" si="39"/>
        <v>0.5233111322549953</v>
      </c>
      <c r="L86" s="339">
        <f t="shared" si="40"/>
        <v>0.7765314926660914</v>
      </c>
      <c r="M86" s="339">
        <f t="shared" si="41"/>
        <v>0.1325656397776063</v>
      </c>
      <c r="N86" s="339">
        <f t="shared" si="42"/>
        <v>0.37009858660625977</v>
      </c>
      <c r="O86" s="380">
        <f t="shared" si="43"/>
        <v>0</v>
      </c>
      <c r="P86" s="380">
        <f t="shared" si="44"/>
        <v>0</v>
      </c>
      <c r="Q86" s="339">
        <f t="shared" si="45"/>
        <v>2.1174205967276225</v>
      </c>
      <c r="R86" s="339">
        <f t="shared" si="46"/>
        <v>1.604625095864551</v>
      </c>
      <c r="S86" s="380">
        <f t="shared" si="47"/>
        <v>0</v>
      </c>
      <c r="T86" s="380">
        <f t="shared" si="48"/>
        <v>0</v>
      </c>
      <c r="U86" s="380">
        <f t="shared" si="49"/>
        <v>0</v>
      </c>
      <c r="V86" s="339">
        <f t="shared" si="50"/>
        <v>3.0542986425339365</v>
      </c>
      <c r="W86" s="339">
        <f t="shared" si="51"/>
        <v>3.025526511668637</v>
      </c>
      <c r="X86" s="380">
        <f t="shared" si="52"/>
        <v>0</v>
      </c>
      <c r="Y86" s="380">
        <f t="shared" si="53"/>
        <v>0</v>
      </c>
      <c r="Z86" s="380">
        <f t="shared" si="54"/>
        <v>0</v>
      </c>
      <c r="AA86" s="380">
        <f t="shared" si="55"/>
        <v>0</v>
      </c>
      <c r="AB86" s="380">
        <f t="shared" si="56"/>
        <v>0</v>
      </c>
      <c r="AC86" s="380">
        <f t="shared" si="57"/>
        <v>0</v>
      </c>
      <c r="AD86" s="339">
        <f t="shared" si="58"/>
        <v>1.994962216624685</v>
      </c>
      <c r="AE86" s="380">
        <f t="shared" si="59"/>
        <v>0</v>
      </c>
      <c r="AF86" s="380">
        <f t="shared" si="60"/>
        <v>0</v>
      </c>
      <c r="AG86" s="339">
        <f t="shared" si="61"/>
        <v>1.1629509665414701</v>
      </c>
      <c r="AH86" s="692">
        <f t="shared" si="62"/>
        <v>1.1997956019661145</v>
      </c>
      <c r="AI86" s="373">
        <f>AI23/AI28</f>
        <v>0.010368910805290198</v>
      </c>
      <c r="AJ86" s="167"/>
      <c r="AK86" s="334">
        <v>0.00798998966986723</v>
      </c>
      <c r="AL86" s="334">
        <v>0.006578271148113887</v>
      </c>
      <c r="AM86" s="378"/>
      <c r="AN86" s="334"/>
      <c r="AO86" s="334"/>
      <c r="AP86" s="334">
        <v>0.020939445387662705</v>
      </c>
      <c r="AQ86" s="334">
        <v>0.007329842931937173</v>
      </c>
      <c r="AR86" s="334">
        <v>0.004719152854511971</v>
      </c>
      <c r="AS86" s="334">
        <v>0.005233111322549952</v>
      </c>
      <c r="AT86" s="334">
        <v>0.007765314926660914</v>
      </c>
      <c r="AU86" s="334">
        <v>0.001325656397776063</v>
      </c>
      <c r="AV86" s="334">
        <v>0.003700985866062598</v>
      </c>
      <c r="AW86" s="378"/>
      <c r="AX86" s="378"/>
      <c r="AY86" s="334">
        <v>0.021174205967276226</v>
      </c>
      <c r="AZ86" s="334">
        <v>0.016046250958645508</v>
      </c>
      <c r="BA86" s="378"/>
      <c r="BB86" s="378"/>
      <c r="BC86" s="378"/>
      <c r="BD86" s="334">
        <v>0.030542986425339366</v>
      </c>
      <c r="BE86" s="334">
        <v>0.03025526511668637</v>
      </c>
      <c r="BF86" s="378"/>
      <c r="BG86" s="378"/>
      <c r="BH86" s="378"/>
      <c r="BI86" s="378"/>
      <c r="BJ86" s="378"/>
      <c r="BK86" s="378"/>
      <c r="BL86" s="334">
        <v>0.01994962216624685</v>
      </c>
      <c r="BM86" s="378"/>
      <c r="BN86" s="378"/>
      <c r="BO86" s="334">
        <v>0.0116295096654147</v>
      </c>
      <c r="BP86" s="334">
        <v>0.011997956019661145</v>
      </c>
    </row>
    <row r="87" spans="1:68" ht="12.75">
      <c r="A87" s="21"/>
      <c r="B87" s="684" t="s">
        <v>243</v>
      </c>
      <c r="C87" s="691">
        <f t="shared" si="63"/>
        <v>1.3995172503064777</v>
      </c>
      <c r="D87" s="339">
        <f t="shared" si="32"/>
        <v>0.7092198581560284</v>
      </c>
      <c r="E87" s="380">
        <f t="shared" si="33"/>
        <v>0</v>
      </c>
      <c r="F87" s="380">
        <f t="shared" si="34"/>
        <v>0</v>
      </c>
      <c r="G87" s="339">
        <f t="shared" si="35"/>
        <v>0</v>
      </c>
      <c r="H87" s="339">
        <f t="shared" si="36"/>
        <v>1.7543859649122806</v>
      </c>
      <c r="I87" s="339">
        <f t="shared" si="37"/>
        <v>0.5933682373472949</v>
      </c>
      <c r="J87" s="339">
        <f t="shared" si="38"/>
        <v>0.3913443830570903</v>
      </c>
      <c r="K87" s="339">
        <f t="shared" si="39"/>
        <v>0.4281636536631779</v>
      </c>
      <c r="L87" s="339">
        <f t="shared" si="40"/>
        <v>0.6039689387402933</v>
      </c>
      <c r="M87" s="339">
        <f t="shared" si="41"/>
        <v>0.051443382600265125</v>
      </c>
      <c r="N87" s="339">
        <f t="shared" si="42"/>
        <v>0.13081070733497113</v>
      </c>
      <c r="O87" s="380">
        <f t="shared" si="43"/>
        <v>0</v>
      </c>
      <c r="P87" s="380">
        <f t="shared" si="44"/>
        <v>0</v>
      </c>
      <c r="Q87" s="339">
        <f t="shared" si="45"/>
        <v>0.8902791145332051</v>
      </c>
      <c r="R87" s="339">
        <f t="shared" si="46"/>
        <v>0.769866084596779</v>
      </c>
      <c r="S87" s="380">
        <f t="shared" si="47"/>
        <v>0</v>
      </c>
      <c r="T87" s="380">
        <f t="shared" si="48"/>
        <v>0</v>
      </c>
      <c r="U87" s="380">
        <f t="shared" si="49"/>
        <v>0</v>
      </c>
      <c r="V87" s="339">
        <f t="shared" si="50"/>
        <v>0.4524886877828055</v>
      </c>
      <c r="W87" s="339">
        <f t="shared" si="51"/>
        <v>0.48163229563466003</v>
      </c>
      <c r="X87" s="380">
        <f t="shared" si="52"/>
        <v>0</v>
      </c>
      <c r="Y87" s="380">
        <f t="shared" si="53"/>
        <v>0</v>
      </c>
      <c r="Z87" s="380">
        <f t="shared" si="54"/>
        <v>0</v>
      </c>
      <c r="AA87" s="380">
        <f t="shared" si="55"/>
        <v>0</v>
      </c>
      <c r="AB87" s="380">
        <f t="shared" si="56"/>
        <v>0</v>
      </c>
      <c r="AC87" s="380">
        <f t="shared" si="57"/>
        <v>0</v>
      </c>
      <c r="AD87" s="339">
        <f t="shared" si="58"/>
        <v>35.61712846347607</v>
      </c>
      <c r="AE87" s="380">
        <f t="shared" si="59"/>
        <v>0</v>
      </c>
      <c r="AF87" s="380">
        <f t="shared" si="60"/>
        <v>0</v>
      </c>
      <c r="AG87" s="339">
        <f t="shared" si="61"/>
        <v>1.1836256503910962</v>
      </c>
      <c r="AH87" s="692">
        <f t="shared" si="62"/>
        <v>2.770844775683586</v>
      </c>
      <c r="AI87" s="373">
        <f>AI24/AI28</f>
        <v>0.022135679947180555</v>
      </c>
      <c r="AJ87" s="167"/>
      <c r="AK87" s="334">
        <v>0.013995172503064776</v>
      </c>
      <c r="AL87" s="334">
        <v>0.0070921985815602835</v>
      </c>
      <c r="AM87" s="378"/>
      <c r="AN87" s="378"/>
      <c r="AO87" s="334"/>
      <c r="AP87" s="334">
        <v>0.017543859649122806</v>
      </c>
      <c r="AQ87" s="334">
        <v>0.00593368237347295</v>
      </c>
      <c r="AR87" s="334">
        <v>0.003913443830570903</v>
      </c>
      <c r="AS87" s="334">
        <v>0.004281636536631779</v>
      </c>
      <c r="AT87" s="334">
        <v>0.0060396893874029335</v>
      </c>
      <c r="AU87" s="334">
        <v>0.0005144338260026513</v>
      </c>
      <c r="AV87" s="334">
        <v>0.0013081070733497113</v>
      </c>
      <c r="AW87" s="378"/>
      <c r="AX87" s="378"/>
      <c r="AY87" s="334">
        <v>0.00890279114533205</v>
      </c>
      <c r="AZ87" s="334">
        <v>0.007698660845967789</v>
      </c>
      <c r="BA87" s="378"/>
      <c r="BB87" s="378"/>
      <c r="BC87" s="378"/>
      <c r="BD87" s="334">
        <v>0.004524886877828055</v>
      </c>
      <c r="BE87" s="334">
        <v>0.0048163229563466005</v>
      </c>
      <c r="BF87" s="378"/>
      <c r="BG87" s="378"/>
      <c r="BH87" s="378"/>
      <c r="BI87" s="378"/>
      <c r="BJ87" s="378"/>
      <c r="BK87" s="378"/>
      <c r="BL87" s="334">
        <v>0.3561712846347607</v>
      </c>
      <c r="BM87" s="378"/>
      <c r="BN87" s="378"/>
      <c r="BO87" s="334">
        <v>0.011836256503910961</v>
      </c>
      <c r="BP87" s="334">
        <v>0.027708447756835862</v>
      </c>
    </row>
    <row r="88" spans="1:68" ht="12.75">
      <c r="A88" s="21"/>
      <c r="B88" s="684"/>
      <c r="C88" s="691"/>
      <c r="D88" s="339"/>
      <c r="E88" s="380"/>
      <c r="F88" s="380"/>
      <c r="G88" s="380"/>
      <c r="H88" s="339"/>
      <c r="I88" s="339"/>
      <c r="J88" s="339"/>
      <c r="K88" s="339"/>
      <c r="L88" s="339"/>
      <c r="M88" s="339"/>
      <c r="N88" s="339"/>
      <c r="O88" s="380"/>
      <c r="P88" s="380"/>
      <c r="Q88" s="339"/>
      <c r="R88" s="339"/>
      <c r="S88" s="380"/>
      <c r="T88" s="380"/>
      <c r="U88" s="380"/>
      <c r="V88" s="339"/>
      <c r="W88" s="339"/>
      <c r="X88" s="380"/>
      <c r="Y88" s="380"/>
      <c r="Z88" s="380"/>
      <c r="AA88" s="380"/>
      <c r="AB88" s="380"/>
      <c r="AC88" s="380"/>
      <c r="AD88" s="339"/>
      <c r="AE88" s="380"/>
      <c r="AF88" s="380"/>
      <c r="AG88" s="339"/>
      <c r="AH88" s="692"/>
      <c r="AI88" s="373"/>
      <c r="AJ88" s="167"/>
      <c r="AK88" s="334"/>
      <c r="AL88" s="334"/>
      <c r="AM88" s="378"/>
      <c r="AN88" s="378"/>
      <c r="AO88" s="378"/>
      <c r="AP88" s="334"/>
      <c r="AQ88" s="334"/>
      <c r="AR88" s="334"/>
      <c r="AS88" s="334"/>
      <c r="AT88" s="334"/>
      <c r="AU88" s="334"/>
      <c r="AV88" s="334"/>
      <c r="AW88" s="378"/>
      <c r="AX88" s="378"/>
      <c r="AY88" s="334"/>
      <c r="AZ88" s="334"/>
      <c r="BA88" s="378"/>
      <c r="BB88" s="378"/>
      <c r="BC88" s="378"/>
      <c r="BD88" s="334"/>
      <c r="BE88" s="334"/>
      <c r="BF88" s="378"/>
      <c r="BG88" s="378"/>
      <c r="BH88" s="378"/>
      <c r="BI88" s="378"/>
      <c r="BJ88" s="378"/>
      <c r="BK88" s="378"/>
      <c r="BL88" s="334"/>
      <c r="BM88" s="378"/>
      <c r="BN88" s="378"/>
      <c r="BO88" s="334"/>
      <c r="BP88" s="334"/>
    </row>
    <row r="89" spans="1:68" ht="12.75">
      <c r="A89" s="21"/>
      <c r="B89" s="670" t="s">
        <v>189</v>
      </c>
      <c r="C89" s="692">
        <f t="shared" si="63"/>
        <v>36.36384402768577</v>
      </c>
      <c r="D89" s="381">
        <f t="shared" si="32"/>
        <v>13.094871004214204</v>
      </c>
      <c r="E89" s="382">
        <f t="shared" si="33"/>
        <v>0</v>
      </c>
      <c r="F89" s="382">
        <f t="shared" si="34"/>
        <v>0</v>
      </c>
      <c r="G89" s="382">
        <f t="shared" si="35"/>
        <v>0</v>
      </c>
      <c r="H89" s="381">
        <f t="shared" si="36"/>
        <v>47.481607243916244</v>
      </c>
      <c r="I89" s="381">
        <f t="shared" si="37"/>
        <v>40.94240837696335</v>
      </c>
      <c r="J89" s="381">
        <f t="shared" si="38"/>
        <v>23.215930018416206</v>
      </c>
      <c r="K89" s="381">
        <f t="shared" si="39"/>
        <v>20.076117982873456</v>
      </c>
      <c r="L89" s="381">
        <f t="shared" si="40"/>
        <v>36.9283865401208</v>
      </c>
      <c r="M89" s="381">
        <f t="shared" si="41"/>
        <v>14.934409687184663</v>
      </c>
      <c r="N89" s="381">
        <f t="shared" si="42"/>
        <v>23.533165300067</v>
      </c>
      <c r="O89" s="382">
        <f t="shared" si="43"/>
        <v>0</v>
      </c>
      <c r="P89" s="382">
        <f t="shared" si="44"/>
        <v>0</v>
      </c>
      <c r="Q89" s="381">
        <f t="shared" si="45"/>
        <v>47.3051010587103</v>
      </c>
      <c r="R89" s="381">
        <f t="shared" si="46"/>
        <v>68.00188779423043</v>
      </c>
      <c r="S89" s="382">
        <f t="shared" si="47"/>
        <v>0</v>
      </c>
      <c r="T89" s="382">
        <f t="shared" si="48"/>
        <v>0</v>
      </c>
      <c r="U89" s="382">
        <f t="shared" si="49"/>
        <v>0</v>
      </c>
      <c r="V89" s="381">
        <f t="shared" si="50"/>
        <v>59.502262443438916</v>
      </c>
      <c r="W89" s="381">
        <f t="shared" si="51"/>
        <v>69.81041201453654</v>
      </c>
      <c r="X89" s="382">
        <f t="shared" si="52"/>
        <v>0</v>
      </c>
      <c r="Y89" s="382">
        <f t="shared" si="53"/>
        <v>0</v>
      </c>
      <c r="Z89" s="382">
        <f t="shared" si="54"/>
        <v>0</v>
      </c>
      <c r="AA89" s="382">
        <f t="shared" si="55"/>
        <v>0</v>
      </c>
      <c r="AB89" s="382">
        <f t="shared" si="56"/>
        <v>0</v>
      </c>
      <c r="AC89" s="382">
        <f t="shared" si="57"/>
        <v>0</v>
      </c>
      <c r="AD89" s="381">
        <f t="shared" si="58"/>
        <v>63.68765743073048</v>
      </c>
      <c r="AE89" s="382">
        <f t="shared" si="59"/>
        <v>0</v>
      </c>
      <c r="AF89" s="382">
        <f t="shared" si="60"/>
        <v>0</v>
      </c>
      <c r="AG89" s="381">
        <f t="shared" si="61"/>
        <v>70.42486475310982</v>
      </c>
      <c r="AH89" s="692">
        <f t="shared" si="62"/>
        <v>24.221514631144977</v>
      </c>
      <c r="AI89" s="377">
        <f>AI26/AI28</f>
        <v>0.2915695215301133</v>
      </c>
      <c r="AJ89" s="167"/>
      <c r="AK89" s="379">
        <v>0.3636384402768577</v>
      </c>
      <c r="AL89" s="379">
        <v>0.13094871004214204</v>
      </c>
      <c r="AM89" s="333"/>
      <c r="AN89" s="333"/>
      <c r="AO89" s="333"/>
      <c r="AP89" s="379">
        <v>0.4748160724391624</v>
      </c>
      <c r="AQ89" s="379">
        <v>0.4094240837696335</v>
      </c>
      <c r="AR89" s="379">
        <v>0.23215930018416206</v>
      </c>
      <c r="AS89" s="379">
        <v>0.20076117982873454</v>
      </c>
      <c r="AT89" s="379">
        <v>0.36928386540120794</v>
      </c>
      <c r="AU89" s="379">
        <v>0.14934409687184663</v>
      </c>
      <c r="AV89" s="379">
        <v>0.23533165300067</v>
      </c>
      <c r="AW89" s="333"/>
      <c r="AX89" s="333"/>
      <c r="AY89" s="379">
        <v>0.47305101058710297</v>
      </c>
      <c r="AZ89" s="379">
        <v>0.6800188779423043</v>
      </c>
      <c r="BA89" s="333"/>
      <c r="BB89" s="333"/>
      <c r="BC89" s="333"/>
      <c r="BD89" s="379">
        <v>0.5950226244343891</v>
      </c>
      <c r="BE89" s="379">
        <v>0.6981041201453654</v>
      </c>
      <c r="BF89" s="333"/>
      <c r="BG89" s="333"/>
      <c r="BH89" s="333"/>
      <c r="BI89" s="333"/>
      <c r="BJ89" s="333"/>
      <c r="BK89" s="333"/>
      <c r="BL89" s="379">
        <v>0.6368765743073048</v>
      </c>
      <c r="BM89" s="333"/>
      <c r="BN89" s="333"/>
      <c r="BO89" s="379">
        <v>0.7042486475310982</v>
      </c>
      <c r="BP89" s="379">
        <v>0.24221514631144977</v>
      </c>
    </row>
    <row r="90" spans="1:68" ht="13.5" thickBot="1">
      <c r="A90" s="21"/>
      <c r="B90" s="647" t="s">
        <v>161</v>
      </c>
      <c r="C90" s="693">
        <f t="shared" si="63"/>
        <v>63.63615597231422</v>
      </c>
      <c r="D90" s="679">
        <f t="shared" si="32"/>
        <v>86.9051289957858</v>
      </c>
      <c r="E90" s="680">
        <f t="shared" si="33"/>
        <v>0</v>
      </c>
      <c r="F90" s="680">
        <f t="shared" si="34"/>
        <v>0</v>
      </c>
      <c r="G90" s="680">
        <f t="shared" si="35"/>
        <v>0</v>
      </c>
      <c r="H90" s="679">
        <f t="shared" si="36"/>
        <v>52.518392756083756</v>
      </c>
      <c r="I90" s="679">
        <f t="shared" si="37"/>
        <v>59.05759162303666</v>
      </c>
      <c r="J90" s="679">
        <f t="shared" si="38"/>
        <v>76.7840699815838</v>
      </c>
      <c r="K90" s="679">
        <f t="shared" si="39"/>
        <v>79.92388201712654</v>
      </c>
      <c r="L90" s="679">
        <f t="shared" si="40"/>
        <v>63.0716134598792</v>
      </c>
      <c r="M90" s="679">
        <f t="shared" si="41"/>
        <v>85.06559031281535</v>
      </c>
      <c r="N90" s="679">
        <f t="shared" si="42"/>
        <v>76.46683469993299</v>
      </c>
      <c r="O90" s="680">
        <f t="shared" si="43"/>
        <v>0</v>
      </c>
      <c r="P90" s="680">
        <f t="shared" si="44"/>
        <v>0</v>
      </c>
      <c r="Q90" s="679">
        <f t="shared" si="45"/>
        <v>52.6948989412897</v>
      </c>
      <c r="R90" s="679">
        <f t="shared" si="46"/>
        <v>31.99811220576957</v>
      </c>
      <c r="S90" s="680">
        <f t="shared" si="47"/>
        <v>0</v>
      </c>
      <c r="T90" s="680">
        <f t="shared" si="48"/>
        <v>0</v>
      </c>
      <c r="U90" s="680">
        <f t="shared" si="49"/>
        <v>0</v>
      </c>
      <c r="V90" s="679">
        <f t="shared" si="50"/>
        <v>40.497737556561084</v>
      </c>
      <c r="W90" s="679">
        <f t="shared" si="51"/>
        <v>30.18958798546346</v>
      </c>
      <c r="X90" s="680">
        <f t="shared" si="52"/>
        <v>0</v>
      </c>
      <c r="Y90" s="680">
        <f t="shared" si="53"/>
        <v>0</v>
      </c>
      <c r="Z90" s="680">
        <f t="shared" si="54"/>
        <v>0</v>
      </c>
      <c r="AA90" s="680">
        <f t="shared" si="55"/>
        <v>0</v>
      </c>
      <c r="AB90" s="680">
        <f t="shared" si="56"/>
        <v>0</v>
      </c>
      <c r="AC90" s="680">
        <f t="shared" si="57"/>
        <v>0</v>
      </c>
      <c r="AD90" s="679">
        <f t="shared" si="58"/>
        <v>36.312342569269525</v>
      </c>
      <c r="AE90" s="680">
        <f t="shared" si="59"/>
        <v>0</v>
      </c>
      <c r="AF90" s="680">
        <f t="shared" si="60"/>
        <v>0</v>
      </c>
      <c r="AG90" s="679">
        <f t="shared" si="61"/>
        <v>29.575135246890184</v>
      </c>
      <c r="AH90" s="693">
        <f t="shared" si="62"/>
        <v>75.77848536885502</v>
      </c>
      <c r="AI90" s="377">
        <f>AI27/AI28</f>
        <v>0.7084304784698867</v>
      </c>
      <c r="AJ90" s="167"/>
      <c r="AK90" s="379">
        <v>0.6363615597231422</v>
      </c>
      <c r="AL90" s="379">
        <v>0.869051289957858</v>
      </c>
      <c r="AM90" s="333"/>
      <c r="AN90" s="333"/>
      <c r="AO90" s="333"/>
      <c r="AP90" s="379">
        <v>0.5251839275608375</v>
      </c>
      <c r="AQ90" s="379">
        <v>0.5905759162303665</v>
      </c>
      <c r="AR90" s="379">
        <v>0.7678406998158379</v>
      </c>
      <c r="AS90" s="379">
        <v>0.7992388201712655</v>
      </c>
      <c r="AT90" s="379">
        <v>0.630716134598792</v>
      </c>
      <c r="AU90" s="379">
        <v>0.8506559031281534</v>
      </c>
      <c r="AV90" s="379">
        <v>0.76466834699933</v>
      </c>
      <c r="AW90" s="333"/>
      <c r="AX90" s="333"/>
      <c r="AY90" s="379">
        <v>0.526948989412897</v>
      </c>
      <c r="AZ90" s="379">
        <v>0.3199811220576957</v>
      </c>
      <c r="BA90" s="333"/>
      <c r="BB90" s="333"/>
      <c r="BC90" s="333"/>
      <c r="BD90" s="379">
        <v>0.40497737556561086</v>
      </c>
      <c r="BE90" s="379">
        <v>0.3018958798546346</v>
      </c>
      <c r="BF90" s="333"/>
      <c r="BG90" s="333"/>
      <c r="BH90" s="333"/>
      <c r="BI90" s="333"/>
      <c r="BJ90" s="333"/>
      <c r="BK90" s="333"/>
      <c r="BL90" s="379">
        <v>0.36312342569269523</v>
      </c>
      <c r="BM90" s="333"/>
      <c r="BN90" s="333"/>
      <c r="BO90" s="379">
        <v>0.29575135246890183</v>
      </c>
      <c r="BP90" s="379">
        <v>0.7577848536885502</v>
      </c>
    </row>
    <row r="91" spans="1:68" ht="21.75" customHeight="1" thickTop="1">
      <c r="A91" s="21"/>
      <c r="B91" s="638" t="s">
        <v>350</v>
      </c>
      <c r="C91" s="694">
        <f t="shared" si="63"/>
        <v>100</v>
      </c>
      <c r="D91" s="383">
        <f t="shared" si="32"/>
        <v>100</v>
      </c>
      <c r="E91" s="384">
        <f t="shared" si="33"/>
        <v>0</v>
      </c>
      <c r="F91" s="384">
        <f t="shared" si="34"/>
        <v>0</v>
      </c>
      <c r="G91" s="384">
        <f t="shared" si="35"/>
        <v>0</v>
      </c>
      <c r="H91" s="383">
        <f t="shared" si="36"/>
        <v>100</v>
      </c>
      <c r="I91" s="383">
        <f t="shared" si="37"/>
        <v>100</v>
      </c>
      <c r="J91" s="383">
        <f t="shared" si="38"/>
        <v>100</v>
      </c>
      <c r="K91" s="383">
        <f t="shared" si="39"/>
        <v>100</v>
      </c>
      <c r="L91" s="383">
        <f t="shared" si="40"/>
        <v>100</v>
      </c>
      <c r="M91" s="383">
        <f t="shared" si="41"/>
        <v>100</v>
      </c>
      <c r="N91" s="383">
        <f t="shared" si="42"/>
        <v>100</v>
      </c>
      <c r="O91" s="384">
        <f t="shared" si="43"/>
        <v>0</v>
      </c>
      <c r="P91" s="384">
        <f t="shared" si="44"/>
        <v>0</v>
      </c>
      <c r="Q91" s="383">
        <f t="shared" si="45"/>
        <v>100</v>
      </c>
      <c r="R91" s="383">
        <f t="shared" si="46"/>
        <v>100</v>
      </c>
      <c r="S91" s="384">
        <f t="shared" si="47"/>
        <v>0</v>
      </c>
      <c r="T91" s="384">
        <f t="shared" si="48"/>
        <v>0</v>
      </c>
      <c r="U91" s="384">
        <f t="shared" si="49"/>
        <v>0</v>
      </c>
      <c r="V91" s="383">
        <f t="shared" si="50"/>
        <v>100</v>
      </c>
      <c r="W91" s="383">
        <f t="shared" si="51"/>
        <v>100</v>
      </c>
      <c r="X91" s="384">
        <f t="shared" si="52"/>
        <v>0</v>
      </c>
      <c r="Y91" s="384">
        <f t="shared" si="53"/>
        <v>0</v>
      </c>
      <c r="Z91" s="384">
        <f t="shared" si="54"/>
        <v>0</v>
      </c>
      <c r="AA91" s="384">
        <f t="shared" si="55"/>
        <v>0</v>
      </c>
      <c r="AB91" s="384">
        <f t="shared" si="56"/>
        <v>0</v>
      </c>
      <c r="AC91" s="384">
        <f t="shared" si="57"/>
        <v>0</v>
      </c>
      <c r="AD91" s="383">
        <f t="shared" si="58"/>
        <v>100</v>
      </c>
      <c r="AE91" s="384">
        <f t="shared" si="59"/>
        <v>0</v>
      </c>
      <c r="AF91" s="384">
        <f t="shared" si="60"/>
        <v>0</v>
      </c>
      <c r="AG91" s="383">
        <f t="shared" si="61"/>
        <v>100</v>
      </c>
      <c r="AH91" s="694">
        <f t="shared" si="62"/>
        <v>100</v>
      </c>
      <c r="AI91" s="377">
        <f>AI28/AI28</f>
        <v>1</v>
      </c>
      <c r="AJ91" s="177"/>
      <c r="AK91" s="379">
        <v>1</v>
      </c>
      <c r="AL91" s="379">
        <v>1</v>
      </c>
      <c r="AM91" s="333"/>
      <c r="AN91" s="333"/>
      <c r="AO91" s="333"/>
      <c r="AP91" s="379">
        <v>1</v>
      </c>
      <c r="AQ91" s="379">
        <v>1</v>
      </c>
      <c r="AR91" s="379">
        <v>1</v>
      </c>
      <c r="AS91" s="379">
        <v>1</v>
      </c>
      <c r="AT91" s="379">
        <v>1</v>
      </c>
      <c r="AU91" s="379">
        <v>1</v>
      </c>
      <c r="AV91" s="379">
        <v>1</v>
      </c>
      <c r="AW91" s="333"/>
      <c r="AX91" s="333"/>
      <c r="AY91" s="379">
        <v>1</v>
      </c>
      <c r="AZ91" s="379">
        <v>1</v>
      </c>
      <c r="BA91" s="333"/>
      <c r="BB91" s="333"/>
      <c r="BC91" s="333"/>
      <c r="BD91" s="379">
        <v>1</v>
      </c>
      <c r="BE91" s="379">
        <v>1</v>
      </c>
      <c r="BF91" s="333"/>
      <c r="BG91" s="333"/>
      <c r="BH91" s="333"/>
      <c r="BI91" s="333"/>
      <c r="BJ91" s="333"/>
      <c r="BK91" s="333"/>
      <c r="BL91" s="379">
        <v>1</v>
      </c>
      <c r="BM91" s="333"/>
      <c r="BN91" s="333"/>
      <c r="BO91" s="379">
        <v>1</v>
      </c>
      <c r="BP91" s="379">
        <v>1</v>
      </c>
    </row>
    <row r="92" spans="1:36" ht="15">
      <c r="A92" s="21"/>
      <c r="B92" s="328" t="s">
        <v>499</v>
      </c>
      <c r="C92" s="167"/>
      <c r="D92" s="176"/>
      <c r="E92" s="49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77"/>
      <c r="AI92" s="177"/>
      <c r="AJ92" s="167"/>
    </row>
    <row r="93" spans="1:36" ht="15">
      <c r="A93" s="21"/>
      <c r="B93" s="302" t="s">
        <v>498</v>
      </c>
      <c r="C93" s="167"/>
      <c r="D93" s="176"/>
      <c r="E93" s="49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77"/>
      <c r="AI93" s="177"/>
      <c r="AJ93" s="167"/>
    </row>
    <row r="94" spans="1:36" ht="15">
      <c r="A94" s="21"/>
      <c r="B94" s="70" t="s">
        <v>63</v>
      </c>
      <c r="C94" s="167"/>
      <c r="D94" s="176"/>
      <c r="E94" s="49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77"/>
      <c r="AI94" s="177"/>
      <c r="AJ94" s="167"/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  <headerFooter alignWithMargins="0">
    <oddFooter>&amp;R25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Eradtmp1</dc:creator>
  <cp:keywords/>
  <dc:description/>
  <cp:lastModifiedBy>Colautti</cp:lastModifiedBy>
  <cp:lastPrinted>1999-09-01T15:39:39Z</cp:lastPrinted>
  <dcterms:created xsi:type="dcterms:W3CDTF">1998-08-26T12:38:30Z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